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укция корректировка\"/>
    </mc:Choice>
  </mc:AlternateContent>
  <xr:revisionPtr revIDLastSave="0" documentId="13_ncr:1_{498839F9-A462-45E1-9EFE-F49319C30554}" xr6:coauthVersionLast="47" xr6:coauthVersionMax="47" xr10:uidLastSave="{00000000-0000-0000-0000-000000000000}"/>
  <bookViews>
    <workbookView xWindow="-120" yWindow="-120" windowWidth="29040" windowHeight="15840" xr2:uid="{CDF82710-CB9E-4DDB-BAC2-D161C7016715}"/>
  </bookViews>
  <sheets>
    <sheet name="Смета по ФСНБ 421+557прРИМ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ФСНБ 421+557прРИМ'!$52:$52</definedName>
    <definedName name="_xlnm.Print_Area" localSheetId="0">'Смета по ФСНБ 421+557прРИМ'!$A$1:$L$523</definedName>
  </definedNames>
  <calcPr calcId="191029" iterate="1"/>
</workbook>
</file>

<file path=xl/calcChain.xml><?xml version="1.0" encoding="utf-8"?>
<calcChain xmlns="http://schemas.openxmlformats.org/spreadsheetml/2006/main">
  <c r="L481" i="6" l="1"/>
  <c r="L511" i="6"/>
  <c r="N511" i="6"/>
  <c r="L123" i="6"/>
  <c r="H521" i="6"/>
  <c r="H518" i="6"/>
  <c r="C521" i="6"/>
  <c r="C518" i="6"/>
  <c r="C511" i="6"/>
  <c r="L507" i="6"/>
  <c r="L503" i="6"/>
  <c r="L502" i="6"/>
  <c r="L500" i="6" s="1"/>
  <c r="L496" i="6"/>
  <c r="L495" i="6"/>
  <c r="L491" i="6"/>
  <c r="L476" i="6"/>
  <c r="L475" i="6"/>
  <c r="L471" i="6"/>
  <c r="L460" i="6"/>
  <c r="L455" i="6"/>
  <c r="L454" i="6"/>
  <c r="L452" i="6" s="1"/>
  <c r="L447" i="6"/>
  <c r="L446" i="6"/>
  <c r="L442" i="6"/>
  <c r="L430" i="6"/>
  <c r="L429" i="6"/>
  <c r="L428" i="6"/>
  <c r="L427" i="6"/>
  <c r="L426" i="6"/>
  <c r="L425" i="6"/>
  <c r="L423" i="6" s="1"/>
  <c r="L422" i="6"/>
  <c r="L421" i="6"/>
  <c r="L419" i="6"/>
  <c r="L417" i="6" s="1"/>
  <c r="L416" i="6"/>
  <c r="L414" i="6" s="1"/>
  <c r="L412" i="6" s="1"/>
  <c r="L405" i="6"/>
  <c r="L404" i="6"/>
  <c r="L401" i="6"/>
  <c r="L399" i="6"/>
  <c r="L398" i="6"/>
  <c r="L396" i="6" s="1"/>
  <c r="L392" i="6"/>
  <c r="L391" i="6"/>
  <c r="L387" i="6"/>
  <c r="AW377" i="6"/>
  <c r="AT377" i="6"/>
  <c r="AO377" i="6"/>
  <c r="AE377" i="6"/>
  <c r="AD377" i="6"/>
  <c r="CB377" i="6"/>
  <c r="CC377" i="6"/>
  <c r="G376" i="6"/>
  <c r="E376" i="6"/>
  <c r="G375" i="6"/>
  <c r="E375" i="6"/>
  <c r="L372" i="6"/>
  <c r="J372" i="6"/>
  <c r="G372" i="6"/>
  <c r="L371" i="6"/>
  <c r="L370" i="6" s="1"/>
  <c r="J371" i="6"/>
  <c r="G371" i="6"/>
  <c r="E369" i="6"/>
  <c r="G369" i="6"/>
  <c r="D369" i="6"/>
  <c r="C369" i="6"/>
  <c r="AW368" i="6"/>
  <c r="AT368" i="6"/>
  <c r="AO368" i="6"/>
  <c r="AE368" i="6"/>
  <c r="AD368" i="6"/>
  <c r="CB368" i="6"/>
  <c r="CC368" i="6"/>
  <c r="G367" i="6"/>
  <c r="E367" i="6"/>
  <c r="G366" i="6"/>
  <c r="E366" i="6"/>
  <c r="L363" i="6"/>
  <c r="J363" i="6"/>
  <c r="G363" i="6"/>
  <c r="L362" i="6"/>
  <c r="L361" i="6" s="1"/>
  <c r="J362" i="6"/>
  <c r="G362" i="6"/>
  <c r="C360" i="6"/>
  <c r="E359" i="6"/>
  <c r="G359" i="6"/>
  <c r="D359" i="6"/>
  <c r="C359" i="6"/>
  <c r="AW358" i="6"/>
  <c r="AT358" i="6"/>
  <c r="AO358" i="6"/>
  <c r="AE358" i="6"/>
  <c r="AD358" i="6"/>
  <c r="CB358" i="6"/>
  <c r="CC358" i="6"/>
  <c r="G357" i="6"/>
  <c r="E357" i="6"/>
  <c r="G356" i="6"/>
  <c r="E356" i="6"/>
  <c r="L353" i="6"/>
  <c r="J353" i="6"/>
  <c r="G353" i="6"/>
  <c r="L352" i="6"/>
  <c r="L351" i="6" s="1"/>
  <c r="J352" i="6"/>
  <c r="G352" i="6"/>
  <c r="E350" i="6"/>
  <c r="G350" i="6"/>
  <c r="D350" i="6"/>
  <c r="C350" i="6"/>
  <c r="AW349" i="6"/>
  <c r="AT349" i="6"/>
  <c r="AO349" i="6"/>
  <c r="AE349" i="6"/>
  <c r="AD349" i="6"/>
  <c r="CB349" i="6"/>
  <c r="CC349" i="6"/>
  <c r="G348" i="6"/>
  <c r="E348" i="6"/>
  <c r="G347" i="6"/>
  <c r="E347" i="6"/>
  <c r="L344" i="6"/>
  <c r="J344" i="6"/>
  <c r="G344" i="6"/>
  <c r="L343" i="6"/>
  <c r="L342" i="6" s="1"/>
  <c r="J343" i="6"/>
  <c r="G343" i="6"/>
  <c r="E341" i="6"/>
  <c r="G341" i="6"/>
  <c r="D341" i="6"/>
  <c r="C341" i="6"/>
  <c r="AW340" i="6"/>
  <c r="AT340" i="6"/>
  <c r="AO340" i="6"/>
  <c r="AE340" i="6"/>
  <c r="AD340" i="6"/>
  <c r="CB340" i="6"/>
  <c r="CC340" i="6"/>
  <c r="G339" i="6"/>
  <c r="E339" i="6"/>
  <c r="G338" i="6"/>
  <c r="E338" i="6"/>
  <c r="L335" i="6"/>
  <c r="J335" i="6"/>
  <c r="G335" i="6"/>
  <c r="L334" i="6"/>
  <c r="L333" i="6" s="1"/>
  <c r="J334" i="6"/>
  <c r="G334" i="6"/>
  <c r="E332" i="6"/>
  <c r="G332" i="6"/>
  <c r="D332" i="6"/>
  <c r="C332" i="6"/>
  <c r="AW331" i="6"/>
  <c r="AT331" i="6"/>
  <c r="AO331" i="6"/>
  <c r="AE331" i="6"/>
  <c r="AD331" i="6"/>
  <c r="CB331" i="6"/>
  <c r="CC331" i="6"/>
  <c r="G330" i="6"/>
  <c r="E330" i="6"/>
  <c r="G329" i="6"/>
  <c r="E329" i="6"/>
  <c r="L326" i="6"/>
  <c r="J326" i="6"/>
  <c r="G326" i="6"/>
  <c r="L325" i="6"/>
  <c r="L324" i="6" s="1"/>
  <c r="J325" i="6"/>
  <c r="G325" i="6"/>
  <c r="E323" i="6"/>
  <c r="G323" i="6"/>
  <c r="D323" i="6"/>
  <c r="C323" i="6"/>
  <c r="AW322" i="6"/>
  <c r="AT322" i="6"/>
  <c r="AO322" i="6"/>
  <c r="AE322" i="6"/>
  <c r="AD322" i="6"/>
  <c r="CB322" i="6"/>
  <c r="CC322" i="6"/>
  <c r="G321" i="6"/>
  <c r="E321" i="6"/>
  <c r="G320" i="6"/>
  <c r="E320" i="6"/>
  <c r="L317" i="6"/>
  <c r="L316" i="6" s="1"/>
  <c r="J317" i="6"/>
  <c r="G317" i="6"/>
  <c r="E315" i="6"/>
  <c r="G315" i="6"/>
  <c r="D315" i="6"/>
  <c r="C315" i="6"/>
  <c r="AW314" i="6"/>
  <c r="AT314" i="6"/>
  <c r="AO314" i="6"/>
  <c r="AE314" i="6"/>
  <c r="AD314" i="6"/>
  <c r="CB314" i="6"/>
  <c r="CC314" i="6"/>
  <c r="G313" i="6"/>
  <c r="E313" i="6"/>
  <c r="G312" i="6"/>
  <c r="E312" i="6"/>
  <c r="L309" i="6"/>
  <c r="L308" i="6" s="1"/>
  <c r="J309" i="6"/>
  <c r="G309" i="6"/>
  <c r="E307" i="6"/>
  <c r="G307" i="6"/>
  <c r="D307" i="6"/>
  <c r="C307" i="6"/>
  <c r="AW306" i="6"/>
  <c r="AT306" i="6"/>
  <c r="AO306" i="6"/>
  <c r="AE306" i="6"/>
  <c r="AD306" i="6"/>
  <c r="CB306" i="6"/>
  <c r="CC306" i="6"/>
  <c r="G305" i="6"/>
  <c r="E305" i="6"/>
  <c r="G304" i="6"/>
  <c r="E304" i="6"/>
  <c r="L301" i="6"/>
  <c r="L300" i="6" s="1"/>
  <c r="J301" i="6"/>
  <c r="G301" i="6"/>
  <c r="E299" i="6"/>
  <c r="G299" i="6"/>
  <c r="D299" i="6"/>
  <c r="C299" i="6"/>
  <c r="AW298" i="6"/>
  <c r="AT298" i="6"/>
  <c r="AO298" i="6"/>
  <c r="AE298" i="6"/>
  <c r="AD298" i="6"/>
  <c r="CB298" i="6"/>
  <c r="CC298" i="6"/>
  <c r="G297" i="6"/>
  <c r="E297" i="6"/>
  <c r="G296" i="6"/>
  <c r="E296" i="6"/>
  <c r="L293" i="6"/>
  <c r="L292" i="6" s="1"/>
  <c r="J293" i="6"/>
  <c r="G293" i="6"/>
  <c r="E291" i="6"/>
  <c r="G291" i="6"/>
  <c r="D291" i="6"/>
  <c r="C291" i="6"/>
  <c r="AW290" i="6"/>
  <c r="AT290" i="6"/>
  <c r="AO290" i="6"/>
  <c r="AE290" i="6"/>
  <c r="AD290" i="6"/>
  <c r="CB290" i="6"/>
  <c r="CC290" i="6"/>
  <c r="G289" i="6"/>
  <c r="E289" i="6"/>
  <c r="G288" i="6"/>
  <c r="E288" i="6"/>
  <c r="L285" i="6"/>
  <c r="J285" i="6"/>
  <c r="G285" i="6"/>
  <c r="L284" i="6"/>
  <c r="L283" i="6" s="1"/>
  <c r="J284" i="6"/>
  <c r="G284" i="6"/>
  <c r="E282" i="6"/>
  <c r="G282" i="6"/>
  <c r="D282" i="6"/>
  <c r="C282" i="6"/>
  <c r="AW281" i="6"/>
  <c r="AT281" i="6"/>
  <c r="AO281" i="6"/>
  <c r="AE281" i="6"/>
  <c r="AD281" i="6"/>
  <c r="CB281" i="6"/>
  <c r="CC281" i="6"/>
  <c r="G280" i="6"/>
  <c r="E280" i="6"/>
  <c r="G279" i="6"/>
  <c r="E279" i="6"/>
  <c r="L276" i="6"/>
  <c r="J276" i="6"/>
  <c r="G276" i="6"/>
  <c r="L275" i="6"/>
  <c r="L274" i="6" s="1"/>
  <c r="J275" i="6"/>
  <c r="G275" i="6"/>
  <c r="E273" i="6"/>
  <c r="G273" i="6"/>
  <c r="D273" i="6"/>
  <c r="C273" i="6"/>
  <c r="AW272" i="6"/>
  <c r="AT272" i="6"/>
  <c r="AO272" i="6"/>
  <c r="AE272" i="6"/>
  <c r="AD272" i="6"/>
  <c r="CB272" i="6"/>
  <c r="CC272" i="6"/>
  <c r="G271" i="6"/>
  <c r="E271" i="6"/>
  <c r="G270" i="6"/>
  <c r="E270" i="6"/>
  <c r="L267" i="6"/>
  <c r="J267" i="6"/>
  <c r="G267" i="6"/>
  <c r="L266" i="6"/>
  <c r="J266" i="6"/>
  <c r="G266" i="6"/>
  <c r="L265" i="6"/>
  <c r="L264" i="6" s="1"/>
  <c r="J265" i="6"/>
  <c r="G265" i="6"/>
  <c r="E263" i="6"/>
  <c r="G263" i="6"/>
  <c r="D263" i="6"/>
  <c r="C263" i="6"/>
  <c r="AW262" i="6"/>
  <c r="AT262" i="6"/>
  <c r="AO262" i="6"/>
  <c r="AE262" i="6"/>
  <c r="AD262" i="6"/>
  <c r="CB262" i="6"/>
  <c r="CC262" i="6"/>
  <c r="G261" i="6"/>
  <c r="E261" i="6"/>
  <c r="G260" i="6"/>
  <c r="E260" i="6"/>
  <c r="L257" i="6"/>
  <c r="J257" i="6"/>
  <c r="G257" i="6"/>
  <c r="L256" i="6"/>
  <c r="J256" i="6"/>
  <c r="G256" i="6"/>
  <c r="L255" i="6"/>
  <c r="L254" i="6" s="1"/>
  <c r="J255" i="6"/>
  <c r="G255" i="6"/>
  <c r="E253" i="6"/>
  <c r="G253" i="6"/>
  <c r="D253" i="6"/>
  <c r="C253" i="6"/>
  <c r="AW252" i="6"/>
  <c r="AT252" i="6"/>
  <c r="AO252" i="6"/>
  <c r="AE252" i="6"/>
  <c r="AD252" i="6"/>
  <c r="CB252" i="6"/>
  <c r="CC252" i="6"/>
  <c r="G251" i="6"/>
  <c r="E251" i="6"/>
  <c r="G250" i="6"/>
  <c r="E250" i="6"/>
  <c r="L247" i="6"/>
  <c r="J247" i="6"/>
  <c r="G247" i="6"/>
  <c r="L246" i="6"/>
  <c r="L245" i="6" s="1"/>
  <c r="J246" i="6"/>
  <c r="G246" i="6"/>
  <c r="E244" i="6"/>
  <c r="G244" i="6"/>
  <c r="D244" i="6"/>
  <c r="C244" i="6"/>
  <c r="G240" i="6"/>
  <c r="G239" i="6"/>
  <c r="L238" i="6"/>
  <c r="L234" i="6"/>
  <c r="L232" i="6"/>
  <c r="L231" i="6"/>
  <c r="L229" i="6" s="1"/>
  <c r="L225" i="6"/>
  <c r="L224" i="6"/>
  <c r="L220" i="6"/>
  <c r="AT210" i="6"/>
  <c r="AR210" i="6"/>
  <c r="AO210" i="6"/>
  <c r="BA210" i="6"/>
  <c r="AZ210" i="6"/>
  <c r="AE210" i="6"/>
  <c r="AD210" i="6"/>
  <c r="L209" i="6"/>
  <c r="I209" i="6"/>
  <c r="H209" i="6"/>
  <c r="J209" i="6" s="1"/>
  <c r="E209" i="6"/>
  <c r="G209" i="6"/>
  <c r="D209" i="6"/>
  <c r="C209" i="6"/>
  <c r="B209" i="6"/>
  <c r="AT208" i="6"/>
  <c r="L219" i="6" s="1"/>
  <c r="AR208" i="6"/>
  <c r="AO208" i="6"/>
  <c r="L217" i="6" s="1"/>
  <c r="L215" i="6" s="1"/>
  <c r="BA208" i="6"/>
  <c r="L228" i="6" s="1"/>
  <c r="AZ208" i="6"/>
  <c r="L227" i="6" s="1"/>
  <c r="AE208" i="6"/>
  <c r="AD208" i="6"/>
  <c r="L207" i="6"/>
  <c r="J207" i="6"/>
  <c r="E207" i="6"/>
  <c r="G207" i="6"/>
  <c r="D207" i="6"/>
  <c r="B207" i="6"/>
  <c r="L201" i="6"/>
  <c r="L200" i="6"/>
  <c r="L197" i="6"/>
  <c r="L195" i="6"/>
  <c r="L194" i="6"/>
  <c r="L192" i="6" s="1"/>
  <c r="L188" i="6"/>
  <c r="L187" i="6"/>
  <c r="L183" i="6"/>
  <c r="AE173" i="6"/>
  <c r="AD173" i="6"/>
  <c r="G172" i="6"/>
  <c r="E172" i="6"/>
  <c r="G171" i="6"/>
  <c r="E171" i="6"/>
  <c r="L168" i="6"/>
  <c r="I168" i="6"/>
  <c r="H168" i="6"/>
  <c r="J168" i="6" s="1"/>
  <c r="G168" i="6"/>
  <c r="L167" i="6"/>
  <c r="I167" i="6"/>
  <c r="H167" i="6"/>
  <c r="J167" i="6" s="1"/>
  <c r="G167" i="6"/>
  <c r="L166" i="6"/>
  <c r="I166" i="6"/>
  <c r="H166" i="6"/>
  <c r="J166" i="6" s="1"/>
  <c r="G166" i="6"/>
  <c r="L165" i="6"/>
  <c r="I165" i="6"/>
  <c r="H165" i="6"/>
  <c r="J165" i="6" s="1"/>
  <c r="G165" i="6"/>
  <c r="L164" i="6"/>
  <c r="L163" i="6" s="1"/>
  <c r="AW173" i="6" s="1"/>
  <c r="I164" i="6"/>
  <c r="H164" i="6"/>
  <c r="J164" i="6" s="1"/>
  <c r="G164" i="6"/>
  <c r="L162" i="6"/>
  <c r="J162" i="6"/>
  <c r="G162" i="6"/>
  <c r="E162" i="6"/>
  <c r="L161" i="6"/>
  <c r="I161" i="6"/>
  <c r="H161" i="6"/>
  <c r="J161" i="6" s="1"/>
  <c r="G161" i="6"/>
  <c r="L160" i="6"/>
  <c r="J160" i="6"/>
  <c r="G160" i="6"/>
  <c r="L159" i="6"/>
  <c r="J159" i="6"/>
  <c r="G159" i="6"/>
  <c r="E159" i="6"/>
  <c r="L158" i="6"/>
  <c r="I158" i="6"/>
  <c r="H158" i="6"/>
  <c r="J158" i="6" s="1"/>
  <c r="G158" i="6"/>
  <c r="L157" i="6"/>
  <c r="L155" i="6" s="1"/>
  <c r="J157" i="6"/>
  <c r="G157" i="6"/>
  <c r="E157" i="6"/>
  <c r="L156" i="6"/>
  <c r="J156" i="6"/>
  <c r="G156" i="6"/>
  <c r="L153" i="6"/>
  <c r="L152" i="6" s="1"/>
  <c r="J153" i="6"/>
  <c r="G153" i="6"/>
  <c r="C151" i="6"/>
  <c r="E150" i="6"/>
  <c r="G150" i="6"/>
  <c r="D150" i="6"/>
  <c r="C150" i="6"/>
  <c r="AE149" i="6"/>
  <c r="AD149" i="6"/>
  <c r="G148" i="6"/>
  <c r="E148" i="6"/>
  <c r="G147" i="6"/>
  <c r="E147" i="6"/>
  <c r="L144" i="6"/>
  <c r="I144" i="6"/>
  <c r="H144" i="6"/>
  <c r="J144" i="6" s="1"/>
  <c r="G144" i="6"/>
  <c r="L143" i="6"/>
  <c r="I143" i="6"/>
  <c r="H143" i="6"/>
  <c r="J143" i="6" s="1"/>
  <c r="G143" i="6"/>
  <c r="L142" i="6"/>
  <c r="L141" i="6" s="1"/>
  <c r="AW149" i="6" s="1"/>
  <c r="L186" i="6" s="1"/>
  <c r="L184" i="6" s="1"/>
  <c r="I142" i="6"/>
  <c r="H142" i="6"/>
  <c r="J142" i="6" s="1"/>
  <c r="G142" i="6"/>
  <c r="L140" i="6"/>
  <c r="J140" i="6"/>
  <c r="G140" i="6"/>
  <c r="E140" i="6"/>
  <c r="L139" i="6"/>
  <c r="I139" i="6"/>
  <c r="H139" i="6"/>
  <c r="J139" i="6" s="1"/>
  <c r="G139" i="6"/>
  <c r="L138" i="6"/>
  <c r="L136" i="6" s="1"/>
  <c r="J138" i="6"/>
  <c r="G138" i="6"/>
  <c r="E138" i="6"/>
  <c r="L137" i="6"/>
  <c r="J137" i="6"/>
  <c r="G137" i="6"/>
  <c r="L134" i="6"/>
  <c r="L133" i="6" s="1"/>
  <c r="J134" i="6"/>
  <c r="G134" i="6"/>
  <c r="E132" i="6"/>
  <c r="G132" i="6"/>
  <c r="D132" i="6"/>
  <c r="C132" i="6"/>
  <c r="L126" i="6"/>
  <c r="L125" i="6"/>
  <c r="L122" i="6"/>
  <c r="L120" i="6"/>
  <c r="L119" i="6"/>
  <c r="L117" i="6" s="1"/>
  <c r="L113" i="6"/>
  <c r="L112" i="6"/>
  <c r="L108" i="6"/>
  <c r="AE98" i="6"/>
  <c r="AD98" i="6"/>
  <c r="G97" i="6"/>
  <c r="E97" i="6"/>
  <c r="G96" i="6"/>
  <c r="E96" i="6"/>
  <c r="L93" i="6"/>
  <c r="I93" i="6"/>
  <c r="H93" i="6"/>
  <c r="J93" i="6" s="1"/>
  <c r="G93" i="6"/>
  <c r="F93" i="6"/>
  <c r="L92" i="6"/>
  <c r="I92" i="6"/>
  <c r="H92" i="6"/>
  <c r="J92" i="6" s="1"/>
  <c r="G92" i="6"/>
  <c r="F92" i="6"/>
  <c r="L91" i="6"/>
  <c r="I91" i="6"/>
  <c r="H91" i="6"/>
  <c r="J91" i="6" s="1"/>
  <c r="G91" i="6"/>
  <c r="F91" i="6"/>
  <c r="L90" i="6"/>
  <c r="I90" i="6"/>
  <c r="H90" i="6"/>
  <c r="J90" i="6" s="1"/>
  <c r="G90" i="6"/>
  <c r="F90" i="6"/>
  <c r="L89" i="6"/>
  <c r="L88" i="6" s="1"/>
  <c r="AW98" i="6" s="1"/>
  <c r="I89" i="6"/>
  <c r="H89" i="6"/>
  <c r="J89" i="6" s="1"/>
  <c r="G89" i="6"/>
  <c r="F89" i="6"/>
  <c r="L87" i="6"/>
  <c r="J87" i="6"/>
  <c r="G87" i="6"/>
  <c r="F87" i="6"/>
  <c r="E87" i="6"/>
  <c r="L86" i="6"/>
  <c r="I86" i="6"/>
  <c r="H86" i="6"/>
  <c r="J86" i="6" s="1"/>
  <c r="G86" i="6"/>
  <c r="F86" i="6"/>
  <c r="L85" i="6"/>
  <c r="J85" i="6"/>
  <c r="G85" i="6"/>
  <c r="F85" i="6"/>
  <c r="L84" i="6"/>
  <c r="J84" i="6"/>
  <c r="G84" i="6"/>
  <c r="F84" i="6"/>
  <c r="E84" i="6"/>
  <c r="L83" i="6"/>
  <c r="I83" i="6"/>
  <c r="H83" i="6"/>
  <c r="J83" i="6" s="1"/>
  <c r="G83" i="6"/>
  <c r="F83" i="6"/>
  <c r="L82" i="6"/>
  <c r="L80" i="6" s="1"/>
  <c r="J82" i="6"/>
  <c r="G82" i="6"/>
  <c r="F82" i="6"/>
  <c r="E82" i="6"/>
  <c r="L81" i="6"/>
  <c r="J81" i="6"/>
  <c r="G81" i="6"/>
  <c r="F81" i="6"/>
  <c r="L78" i="6"/>
  <c r="L77" i="6" s="1"/>
  <c r="J78" i="6"/>
  <c r="G78" i="6"/>
  <c r="F78" i="6"/>
  <c r="C76" i="6"/>
  <c r="B75" i="6"/>
  <c r="E74" i="6"/>
  <c r="G74" i="6"/>
  <c r="D74" i="6"/>
  <c r="AE73" i="6"/>
  <c r="AD73" i="6"/>
  <c r="G72" i="6"/>
  <c r="E72" i="6"/>
  <c r="G71" i="6"/>
  <c r="E71" i="6"/>
  <c r="L68" i="6"/>
  <c r="I68" i="6"/>
  <c r="H68" i="6"/>
  <c r="J68" i="6" s="1"/>
  <c r="G68" i="6"/>
  <c r="F68" i="6"/>
  <c r="L67" i="6"/>
  <c r="I67" i="6"/>
  <c r="H67" i="6"/>
  <c r="J67" i="6" s="1"/>
  <c r="G67" i="6"/>
  <c r="F67" i="6"/>
  <c r="L66" i="6"/>
  <c r="L65" i="6" s="1"/>
  <c r="AW73" i="6" s="1"/>
  <c r="I66" i="6"/>
  <c r="H66" i="6"/>
  <c r="J66" i="6" s="1"/>
  <c r="G66" i="6"/>
  <c r="F66" i="6"/>
  <c r="L64" i="6"/>
  <c r="J64" i="6"/>
  <c r="G64" i="6"/>
  <c r="F64" i="6"/>
  <c r="E64" i="6"/>
  <c r="L63" i="6"/>
  <c r="I63" i="6"/>
  <c r="H63" i="6"/>
  <c r="J63" i="6" s="1"/>
  <c r="G63" i="6"/>
  <c r="F63" i="6"/>
  <c r="L62" i="6"/>
  <c r="L60" i="6" s="1"/>
  <c r="J62" i="6"/>
  <c r="G62" i="6"/>
  <c r="F62" i="6"/>
  <c r="E62" i="6"/>
  <c r="L61" i="6"/>
  <c r="J61" i="6"/>
  <c r="G61" i="6"/>
  <c r="F61" i="6"/>
  <c r="L58" i="6"/>
  <c r="L57" i="6" s="1"/>
  <c r="J58" i="6"/>
  <c r="G58" i="6"/>
  <c r="F58" i="6"/>
  <c r="B56" i="6"/>
  <c r="E55" i="6"/>
  <c r="G55" i="6"/>
  <c r="D55" i="6"/>
  <c r="A28" i="6"/>
  <c r="F16" i="6"/>
  <c r="F14" i="6"/>
  <c r="CO6" i="6"/>
  <c r="F6" i="6"/>
  <c r="CO4" i="6"/>
  <c r="F4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1" i="3"/>
  <c r="Y1" i="3"/>
  <c r="CU1" i="3"/>
  <c r="CV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W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W4" i="3"/>
  <c r="CX4" i="3"/>
  <c r="CY4" i="3"/>
  <c r="CZ4" i="3"/>
  <c r="DA4" i="3"/>
  <c r="DB4" i="3"/>
  <c r="DC4" i="3"/>
  <c r="DF4" i="3"/>
  <c r="DG4" i="3"/>
  <c r="DH4" i="3"/>
  <c r="DI4" i="3"/>
  <c r="DJ4" i="3"/>
  <c r="A5" i="3"/>
  <c r="Y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X6" i="3"/>
  <c r="CY6" i="3"/>
  <c r="CZ6" i="3"/>
  <c r="DA6" i="3"/>
  <c r="DB6" i="3"/>
  <c r="DC6" i="3"/>
  <c r="DF6" i="3"/>
  <c r="DG6" i="3"/>
  <c r="DH6" i="3"/>
  <c r="DI6" i="3"/>
  <c r="DJ6" i="3"/>
  <c r="A7" i="3"/>
  <c r="Y7" i="3"/>
  <c r="CX7" i="3"/>
  <c r="CY7" i="3"/>
  <c r="CZ7" i="3"/>
  <c r="DA7" i="3"/>
  <c r="DB7" i="3"/>
  <c r="DC7" i="3"/>
  <c r="DF7" i="3"/>
  <c r="DG7" i="3"/>
  <c r="DH7" i="3"/>
  <c r="DI7" i="3"/>
  <c r="DJ7" i="3"/>
  <c r="A8" i="3"/>
  <c r="Y8" i="3"/>
  <c r="CX8" i="3"/>
  <c r="CY8" i="3"/>
  <c r="CZ8" i="3"/>
  <c r="DA8" i="3"/>
  <c r="DB8" i="3"/>
  <c r="DC8" i="3"/>
  <c r="DF8" i="3"/>
  <c r="DG8" i="3"/>
  <c r="DH8" i="3"/>
  <c r="DI8" i="3"/>
  <c r="DJ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U21" i="3"/>
  <c r="CV21" i="3"/>
  <c r="CX21" i="3"/>
  <c r="CY21" i="3"/>
  <c r="CZ21" i="3"/>
  <c r="DA21" i="3"/>
  <c r="DB21" i="3"/>
  <c r="DC21" i="3"/>
  <c r="DF21" i="3"/>
  <c r="DG21" i="3"/>
  <c r="DH21" i="3"/>
  <c r="DI21" i="3"/>
  <c r="DJ21" i="3"/>
  <c r="A22" i="3"/>
  <c r="Y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W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W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U40" i="3"/>
  <c r="CV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U41" i="3"/>
  <c r="CV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U42" i="3"/>
  <c r="CV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U43" i="3"/>
  <c r="CV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U44" i="3"/>
  <c r="CV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U45" i="3"/>
  <c r="CV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U46" i="3"/>
  <c r="CV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U47" i="3"/>
  <c r="CV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U48" i="3"/>
  <c r="CV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U49" i="3"/>
  <c r="CV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U50" i="3"/>
  <c r="CV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U51" i="3"/>
  <c r="CV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U52" i="3"/>
  <c r="CV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U53" i="3"/>
  <c r="CV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U54" i="3"/>
  <c r="CV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U55" i="3"/>
  <c r="CV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U56" i="3"/>
  <c r="CV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U57" i="3"/>
  <c r="CV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U58" i="3"/>
  <c r="CV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U59" i="3"/>
  <c r="CV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U60" i="3"/>
  <c r="CV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U61" i="3"/>
  <c r="CV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U62" i="3"/>
  <c r="CV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U63" i="3"/>
  <c r="CV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U66" i="3"/>
  <c r="CV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U67" i="3"/>
  <c r="CV67" i="3"/>
  <c r="CX67" i="3"/>
  <c r="CY67" i="3"/>
  <c r="CZ67" i="3"/>
  <c r="DA67" i="3"/>
  <c r="DB67" i="3"/>
  <c r="DC67" i="3"/>
  <c r="DF67" i="3"/>
  <c r="DG67" i="3"/>
  <c r="DH67" i="3"/>
  <c r="DI67" i="3"/>
  <c r="DJ6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P28" i="1"/>
  <c r="Q28" i="1"/>
  <c r="R28" i="1"/>
  <c r="S28" i="1"/>
  <c r="U28" i="1"/>
  <c r="G57" i="6" s="1"/>
  <c r="V28" i="1"/>
  <c r="G60" i="6" s="1"/>
  <c r="AC28" i="1"/>
  <c r="AE28" i="1"/>
  <c r="AD28" i="1" s="1"/>
  <c r="AF28" i="1"/>
  <c r="AG28" i="1"/>
  <c r="AH28" i="1"/>
  <c r="AI28" i="1"/>
  <c r="AJ28" i="1"/>
  <c r="CP28" i="1"/>
  <c r="O28" i="1" s="1"/>
  <c r="CQ28" i="1"/>
  <c r="CR28" i="1"/>
  <c r="CS28" i="1"/>
  <c r="CT28" i="1"/>
  <c r="CU28" i="1"/>
  <c r="T28" i="1" s="1"/>
  <c r="CV28" i="1"/>
  <c r="CW28" i="1"/>
  <c r="CX28" i="1"/>
  <c r="W28" i="1" s="1"/>
  <c r="CY28" i="1"/>
  <c r="X28" i="1" s="1"/>
  <c r="AZ73" i="6" s="1"/>
  <c r="CZ28" i="1"/>
  <c r="Y28" i="1" s="1"/>
  <c r="BA73" i="6" s="1"/>
  <c r="FR28" i="1"/>
  <c r="GL28" i="1"/>
  <c r="GN28" i="1"/>
  <c r="GP28" i="1"/>
  <c r="GV28" i="1"/>
  <c r="HC28" i="1"/>
  <c r="GX28" i="1" s="1"/>
  <c r="GM28" i="1" s="1"/>
  <c r="GO28" i="1" s="1"/>
  <c r="C29" i="1"/>
  <c r="D29" i="1"/>
  <c r="I29" i="1"/>
  <c r="K29" i="1"/>
  <c r="AC29" i="1"/>
  <c r="AE29" i="1"/>
  <c r="AD29" i="1" s="1"/>
  <c r="AF29" i="1"/>
  <c r="AG29" i="1"/>
  <c r="AH29" i="1"/>
  <c r="AI29" i="1"/>
  <c r="AJ29" i="1"/>
  <c r="CQ29" i="1"/>
  <c r="CR29" i="1"/>
  <c r="CS29" i="1"/>
  <c r="CT29" i="1"/>
  <c r="CU29" i="1"/>
  <c r="T29" i="1" s="1"/>
  <c r="CV29" i="1"/>
  <c r="CW29" i="1"/>
  <c r="CX29" i="1"/>
  <c r="W29" i="1" s="1"/>
  <c r="FR29" i="1"/>
  <c r="GL29" i="1"/>
  <c r="GN29" i="1"/>
  <c r="GP29" i="1"/>
  <c r="GV29" i="1"/>
  <c r="HC29" i="1"/>
  <c r="GX29" i="1" s="1"/>
  <c r="B31" i="1"/>
  <c r="B26" i="1" s="1"/>
  <c r="C31" i="1"/>
  <c r="C26" i="1" s="1"/>
  <c r="D31" i="1"/>
  <c r="D26" i="1" s="1"/>
  <c r="F31" i="1"/>
  <c r="F26" i="1" s="1"/>
  <c r="G31" i="1"/>
  <c r="G26" i="1" s="1"/>
  <c r="AG31" i="1"/>
  <c r="AJ31" i="1"/>
  <c r="BX31" i="1"/>
  <c r="BY31" i="1"/>
  <c r="BZ31" i="1"/>
  <c r="CB31" i="1"/>
  <c r="CD31" i="1"/>
  <c r="CG31" i="1"/>
  <c r="CI31" i="1"/>
  <c r="CJ31" i="1"/>
  <c r="CK31" i="1"/>
  <c r="CL31" i="1"/>
  <c r="CM31" i="1"/>
  <c r="D61" i="1"/>
  <c r="E63" i="1"/>
  <c r="Z63" i="1"/>
  <c r="AA63" i="1"/>
  <c r="AM63" i="1"/>
  <c r="AN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EG63" i="1"/>
  <c r="EH63" i="1"/>
  <c r="EI63" i="1"/>
  <c r="EJ63" i="1"/>
  <c r="EK63" i="1"/>
  <c r="EL63" i="1"/>
  <c r="EM63" i="1"/>
  <c r="EN63" i="1"/>
  <c r="EO63" i="1"/>
  <c r="EP63" i="1"/>
  <c r="EQ63" i="1"/>
  <c r="ER63" i="1"/>
  <c r="ES63" i="1"/>
  <c r="ET63" i="1"/>
  <c r="EU63" i="1"/>
  <c r="EV63" i="1"/>
  <c r="EW63" i="1"/>
  <c r="EX63" i="1"/>
  <c r="EY63" i="1"/>
  <c r="EZ63" i="1"/>
  <c r="FA63" i="1"/>
  <c r="FB63" i="1"/>
  <c r="FC63" i="1"/>
  <c r="FD63" i="1"/>
  <c r="FE63" i="1"/>
  <c r="FF63" i="1"/>
  <c r="FG63" i="1"/>
  <c r="FH63" i="1"/>
  <c r="FI63" i="1"/>
  <c r="FJ63" i="1"/>
  <c r="FK63" i="1"/>
  <c r="FL63" i="1"/>
  <c r="FM63" i="1"/>
  <c r="FN63" i="1"/>
  <c r="FO63" i="1"/>
  <c r="FP63" i="1"/>
  <c r="FQ63" i="1"/>
  <c r="FR63" i="1"/>
  <c r="FS63" i="1"/>
  <c r="FT63" i="1"/>
  <c r="FU63" i="1"/>
  <c r="FV63" i="1"/>
  <c r="FW63" i="1"/>
  <c r="FX63" i="1"/>
  <c r="FY63" i="1"/>
  <c r="FZ63" i="1"/>
  <c r="GA63" i="1"/>
  <c r="GB63" i="1"/>
  <c r="GC63" i="1"/>
  <c r="GD63" i="1"/>
  <c r="GE63" i="1"/>
  <c r="GF63" i="1"/>
  <c r="GG63" i="1"/>
  <c r="GH63" i="1"/>
  <c r="GI63" i="1"/>
  <c r="GJ63" i="1"/>
  <c r="GK63" i="1"/>
  <c r="GL63" i="1"/>
  <c r="GM63" i="1"/>
  <c r="GN63" i="1"/>
  <c r="GO63" i="1"/>
  <c r="GP63" i="1"/>
  <c r="GQ63" i="1"/>
  <c r="GR63" i="1"/>
  <c r="GS63" i="1"/>
  <c r="GT63" i="1"/>
  <c r="GU63" i="1"/>
  <c r="GV63" i="1"/>
  <c r="GW63" i="1"/>
  <c r="GX63" i="1"/>
  <c r="C65" i="1"/>
  <c r="D65" i="1"/>
  <c r="P65" i="1"/>
  <c r="Q65" i="1"/>
  <c r="R65" i="1"/>
  <c r="S65" i="1"/>
  <c r="U65" i="1"/>
  <c r="G133" i="6" s="1"/>
  <c r="V65" i="1"/>
  <c r="G136" i="6" s="1"/>
  <c r="AC65" i="1"/>
  <c r="AE65" i="1"/>
  <c r="AD65" i="1" s="1"/>
  <c r="AF65" i="1"/>
  <c r="AG65" i="1"/>
  <c r="AH65" i="1"/>
  <c r="AI65" i="1"/>
  <c r="AJ65" i="1"/>
  <c r="CP65" i="1"/>
  <c r="O65" i="1" s="1"/>
  <c r="CQ65" i="1"/>
  <c r="CR65" i="1"/>
  <c r="CS65" i="1"/>
  <c r="CT65" i="1"/>
  <c r="CU65" i="1"/>
  <c r="T65" i="1" s="1"/>
  <c r="CV65" i="1"/>
  <c r="CW65" i="1"/>
  <c r="CX65" i="1"/>
  <c r="W65" i="1" s="1"/>
  <c r="CY65" i="1"/>
  <c r="X65" i="1" s="1"/>
  <c r="AZ149" i="6" s="1"/>
  <c r="CZ65" i="1"/>
  <c r="Y65" i="1" s="1"/>
  <c r="BA149" i="6" s="1"/>
  <c r="FR65" i="1"/>
  <c r="GL65" i="1"/>
  <c r="GN65" i="1"/>
  <c r="GP65" i="1"/>
  <c r="GV65" i="1"/>
  <c r="HC65" i="1"/>
  <c r="GX65" i="1" s="1"/>
  <c r="GM65" i="1" s="1"/>
  <c r="GO65" i="1" s="1"/>
  <c r="C66" i="1"/>
  <c r="D66" i="1"/>
  <c r="I66" i="1"/>
  <c r="K66" i="1"/>
  <c r="AC66" i="1"/>
  <c r="AE66" i="1"/>
  <c r="AD66" i="1" s="1"/>
  <c r="AF66" i="1"/>
  <c r="AG66" i="1"/>
  <c r="AH66" i="1"/>
  <c r="AI66" i="1"/>
  <c r="AJ66" i="1"/>
  <c r="CQ66" i="1"/>
  <c r="CR66" i="1"/>
  <c r="CS66" i="1"/>
  <c r="CT66" i="1"/>
  <c r="CU66" i="1"/>
  <c r="T66" i="1" s="1"/>
  <c r="CV66" i="1"/>
  <c r="CW66" i="1"/>
  <c r="CX66" i="1"/>
  <c r="W66" i="1" s="1"/>
  <c r="FR66" i="1"/>
  <c r="GL66" i="1"/>
  <c r="GN66" i="1"/>
  <c r="GP66" i="1"/>
  <c r="GV66" i="1"/>
  <c r="HC66" i="1"/>
  <c r="GX66" i="1" s="1"/>
  <c r="B68" i="1"/>
  <c r="B63" i="1" s="1"/>
  <c r="C68" i="1"/>
  <c r="C63" i="1" s="1"/>
  <c r="D68" i="1"/>
  <c r="D63" i="1" s="1"/>
  <c r="F68" i="1"/>
  <c r="F63" i="1" s="1"/>
  <c r="G68" i="1"/>
  <c r="G63" i="1" s="1"/>
  <c r="AG68" i="1"/>
  <c r="AJ68" i="1"/>
  <c r="BX68" i="1"/>
  <c r="BY68" i="1"/>
  <c r="BZ68" i="1"/>
  <c r="CB68" i="1"/>
  <c r="CD68" i="1"/>
  <c r="CG68" i="1"/>
  <c r="CI68" i="1"/>
  <c r="CJ68" i="1"/>
  <c r="CK68" i="1"/>
  <c r="CL68" i="1"/>
  <c r="CM68" i="1"/>
  <c r="D98" i="1"/>
  <c r="E100" i="1"/>
  <c r="Z100" i="1"/>
  <c r="AA100" i="1"/>
  <c r="AM100" i="1"/>
  <c r="AN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EG100" i="1"/>
  <c r="EH100" i="1"/>
  <c r="EI100" i="1"/>
  <c r="EJ100" i="1"/>
  <c r="EK100" i="1"/>
  <c r="EL100" i="1"/>
  <c r="EM100" i="1"/>
  <c r="EN100" i="1"/>
  <c r="EO100" i="1"/>
  <c r="EP100" i="1"/>
  <c r="EQ100" i="1"/>
  <c r="ER100" i="1"/>
  <c r="ES100" i="1"/>
  <c r="ET100" i="1"/>
  <c r="EU100" i="1"/>
  <c r="EV100" i="1"/>
  <c r="EW100" i="1"/>
  <c r="EX100" i="1"/>
  <c r="EY100" i="1"/>
  <c r="EZ100" i="1"/>
  <c r="FA100" i="1"/>
  <c r="FB100" i="1"/>
  <c r="FC100" i="1"/>
  <c r="FD100" i="1"/>
  <c r="FE100" i="1"/>
  <c r="FF100" i="1"/>
  <c r="FG100" i="1"/>
  <c r="FH100" i="1"/>
  <c r="FI100" i="1"/>
  <c r="FJ100" i="1"/>
  <c r="FK100" i="1"/>
  <c r="FL100" i="1"/>
  <c r="FM100" i="1"/>
  <c r="FN100" i="1"/>
  <c r="FO100" i="1"/>
  <c r="FP100" i="1"/>
  <c r="FQ100" i="1"/>
  <c r="FR100" i="1"/>
  <c r="FS100" i="1"/>
  <c r="FT100" i="1"/>
  <c r="FU100" i="1"/>
  <c r="FV100" i="1"/>
  <c r="FW100" i="1"/>
  <c r="FX100" i="1"/>
  <c r="FY100" i="1"/>
  <c r="FZ100" i="1"/>
  <c r="GA100" i="1"/>
  <c r="GB100" i="1"/>
  <c r="GC100" i="1"/>
  <c r="GD100" i="1"/>
  <c r="GE100" i="1"/>
  <c r="GF100" i="1"/>
  <c r="GG100" i="1"/>
  <c r="GH100" i="1"/>
  <c r="GI100" i="1"/>
  <c r="GJ100" i="1"/>
  <c r="GK100" i="1"/>
  <c r="GL100" i="1"/>
  <c r="GM100" i="1"/>
  <c r="GN100" i="1"/>
  <c r="GO100" i="1"/>
  <c r="GP100" i="1"/>
  <c r="GQ100" i="1"/>
  <c r="GR100" i="1"/>
  <c r="GS100" i="1"/>
  <c r="GT100" i="1"/>
  <c r="GU100" i="1"/>
  <c r="GV100" i="1"/>
  <c r="GW100" i="1"/>
  <c r="GX100" i="1"/>
  <c r="AC102" i="1"/>
  <c r="AD102" i="1"/>
  <c r="AE102" i="1"/>
  <c r="AF102" i="1"/>
  <c r="AG102" i="1"/>
  <c r="AH102" i="1"/>
  <c r="AI102" i="1"/>
  <c r="AJ102" i="1"/>
  <c r="CQ102" i="1"/>
  <c r="P102" i="1" s="1"/>
  <c r="CR102" i="1"/>
  <c r="Q102" i="1" s="1"/>
  <c r="CS102" i="1"/>
  <c r="R102" i="1" s="1"/>
  <c r="CT102" i="1"/>
  <c r="S102" i="1" s="1"/>
  <c r="CU102" i="1"/>
  <c r="T102" i="1" s="1"/>
  <c r="CV102" i="1"/>
  <c r="U102" i="1" s="1"/>
  <c r="CW102" i="1"/>
  <c r="V102" i="1" s="1"/>
  <c r="CX102" i="1"/>
  <c r="W102" i="1" s="1"/>
  <c r="CY102" i="1"/>
  <c r="X102" i="1" s="1"/>
  <c r="CZ102" i="1"/>
  <c r="Y102" i="1" s="1"/>
  <c r="FR102" i="1"/>
  <c r="GL102" i="1"/>
  <c r="GO102" i="1"/>
  <c r="GP102" i="1"/>
  <c r="GV102" i="1"/>
  <c r="HC102" i="1"/>
  <c r="GX102" i="1" s="1"/>
  <c r="HG102" i="1"/>
  <c r="AC103" i="1"/>
  <c r="AE103" i="1"/>
  <c r="AD103" i="1" s="1"/>
  <c r="AF103" i="1"/>
  <c r="AG103" i="1"/>
  <c r="AH103" i="1"/>
  <c r="AI103" i="1"/>
  <c r="AJ103" i="1"/>
  <c r="CQ103" i="1"/>
  <c r="P103" i="1" s="1"/>
  <c r="CR103" i="1"/>
  <c r="Q103" i="1" s="1"/>
  <c r="CS103" i="1"/>
  <c r="R103" i="1" s="1"/>
  <c r="CT103" i="1"/>
  <c r="S103" i="1" s="1"/>
  <c r="CU103" i="1"/>
  <c r="T103" i="1" s="1"/>
  <c r="CV103" i="1"/>
  <c r="U103" i="1" s="1"/>
  <c r="CW103" i="1"/>
  <c r="V103" i="1" s="1"/>
  <c r="CX103" i="1"/>
  <c r="W103" i="1" s="1"/>
  <c r="CY103" i="1"/>
  <c r="X103" i="1" s="1"/>
  <c r="CZ103" i="1"/>
  <c r="Y103" i="1" s="1"/>
  <c r="FR103" i="1"/>
  <c r="GL103" i="1"/>
  <c r="GN103" i="1"/>
  <c r="GP103" i="1"/>
  <c r="GV103" i="1"/>
  <c r="HC103" i="1"/>
  <c r="GX103" i="1" s="1"/>
  <c r="B105" i="1"/>
  <c r="B100" i="1" s="1"/>
  <c r="C105" i="1"/>
  <c r="C100" i="1" s="1"/>
  <c r="D105" i="1"/>
  <c r="D100" i="1" s="1"/>
  <c r="F105" i="1"/>
  <c r="F100" i="1" s="1"/>
  <c r="G105" i="1"/>
  <c r="G100" i="1" s="1"/>
  <c r="AC105" i="1"/>
  <c r="AD105" i="1"/>
  <c r="AE105" i="1"/>
  <c r="AF105" i="1"/>
  <c r="AG105" i="1"/>
  <c r="AH105" i="1"/>
  <c r="AI105" i="1"/>
  <c r="AJ105" i="1"/>
  <c r="AK105" i="1"/>
  <c r="AL105" i="1"/>
  <c r="BX105" i="1"/>
  <c r="BY105" i="1"/>
  <c r="BZ105" i="1"/>
  <c r="CD105" i="1"/>
  <c r="CE105" i="1"/>
  <c r="CF105" i="1"/>
  <c r="CG105" i="1"/>
  <c r="CH105" i="1"/>
  <c r="CI105" i="1"/>
  <c r="CJ105" i="1"/>
  <c r="CK105" i="1"/>
  <c r="CL105" i="1"/>
  <c r="CM105" i="1"/>
  <c r="D135" i="1"/>
  <c r="E137" i="1"/>
  <c r="Z137" i="1"/>
  <c r="AA137" i="1"/>
  <c r="AM137" i="1"/>
  <c r="AN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W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EG137" i="1"/>
  <c r="EH137" i="1"/>
  <c r="EI137" i="1"/>
  <c r="EJ137" i="1"/>
  <c r="EK137" i="1"/>
  <c r="EL137" i="1"/>
  <c r="EM137" i="1"/>
  <c r="EN137" i="1"/>
  <c r="EO137" i="1"/>
  <c r="EP137" i="1"/>
  <c r="EQ137" i="1"/>
  <c r="ER137" i="1"/>
  <c r="ES137" i="1"/>
  <c r="ET137" i="1"/>
  <c r="EU137" i="1"/>
  <c r="EV137" i="1"/>
  <c r="EW137" i="1"/>
  <c r="EX137" i="1"/>
  <c r="EY137" i="1"/>
  <c r="EZ137" i="1"/>
  <c r="FA137" i="1"/>
  <c r="FB137" i="1"/>
  <c r="FC137" i="1"/>
  <c r="FD137" i="1"/>
  <c r="FE137" i="1"/>
  <c r="FF137" i="1"/>
  <c r="FG137" i="1"/>
  <c r="FH137" i="1"/>
  <c r="FI137" i="1"/>
  <c r="FJ137" i="1"/>
  <c r="FK137" i="1"/>
  <c r="FL137" i="1"/>
  <c r="FM137" i="1"/>
  <c r="FN137" i="1"/>
  <c r="FO137" i="1"/>
  <c r="FP137" i="1"/>
  <c r="FQ137" i="1"/>
  <c r="FR137" i="1"/>
  <c r="FS137" i="1"/>
  <c r="FT137" i="1"/>
  <c r="FU137" i="1"/>
  <c r="FV137" i="1"/>
  <c r="FW137" i="1"/>
  <c r="FX137" i="1"/>
  <c r="FY137" i="1"/>
  <c r="FZ137" i="1"/>
  <c r="GA137" i="1"/>
  <c r="GB137" i="1"/>
  <c r="GC137" i="1"/>
  <c r="GD137" i="1"/>
  <c r="GE137" i="1"/>
  <c r="GF137" i="1"/>
  <c r="GG137" i="1"/>
  <c r="GH137" i="1"/>
  <c r="GI137" i="1"/>
  <c r="GJ137" i="1"/>
  <c r="GK137" i="1"/>
  <c r="GL137" i="1"/>
  <c r="GM137" i="1"/>
  <c r="GN137" i="1"/>
  <c r="GO137" i="1"/>
  <c r="GP137" i="1"/>
  <c r="GQ137" i="1"/>
  <c r="GR137" i="1"/>
  <c r="GS137" i="1"/>
  <c r="GT137" i="1"/>
  <c r="GU137" i="1"/>
  <c r="GV137" i="1"/>
  <c r="GW137" i="1"/>
  <c r="GX137" i="1"/>
  <c r="C139" i="1"/>
  <c r="D139" i="1"/>
  <c r="P139" i="1"/>
  <c r="Q139" i="1"/>
  <c r="R139" i="1"/>
  <c r="S139" i="1"/>
  <c r="U139" i="1"/>
  <c r="G245" i="6" s="1"/>
  <c r="V139" i="1"/>
  <c r="AC139" i="1"/>
  <c r="AE139" i="1"/>
  <c r="AD139" i="1" s="1"/>
  <c r="AF139" i="1"/>
  <c r="AG139" i="1"/>
  <c r="AH139" i="1"/>
  <c r="AI139" i="1"/>
  <c r="AJ139" i="1"/>
  <c r="CP139" i="1"/>
  <c r="O139" i="1" s="1"/>
  <c r="CQ139" i="1"/>
  <c r="CR139" i="1"/>
  <c r="CS139" i="1"/>
  <c r="CT139" i="1"/>
  <c r="CU139" i="1"/>
  <c r="T139" i="1" s="1"/>
  <c r="CV139" i="1"/>
  <c r="CW139" i="1"/>
  <c r="CX139" i="1"/>
  <c r="W139" i="1" s="1"/>
  <c r="CY139" i="1"/>
  <c r="X139" i="1" s="1"/>
  <c r="AZ252" i="6" s="1"/>
  <c r="CZ139" i="1"/>
  <c r="Y139" i="1" s="1"/>
  <c r="BA252" i="6" s="1"/>
  <c r="FR139" i="1"/>
  <c r="GL139" i="1"/>
  <c r="GN139" i="1"/>
  <c r="GO139" i="1"/>
  <c r="GV139" i="1"/>
  <c r="HC139" i="1"/>
  <c r="GX139" i="1" s="1"/>
  <c r="GM139" i="1" s="1"/>
  <c r="GP139" i="1" s="1"/>
  <c r="C140" i="1"/>
  <c r="D140" i="1"/>
  <c r="P140" i="1"/>
  <c r="Q140" i="1"/>
  <c r="R140" i="1"/>
  <c r="S140" i="1"/>
  <c r="U140" i="1"/>
  <c r="G254" i="6" s="1"/>
  <c r="V140" i="1"/>
  <c r="AC140" i="1"/>
  <c r="AE140" i="1"/>
  <c r="AD140" i="1" s="1"/>
  <c r="AF140" i="1"/>
  <c r="AG140" i="1"/>
  <c r="AH140" i="1"/>
  <c r="AI140" i="1"/>
  <c r="AJ140" i="1"/>
  <c r="CP140" i="1"/>
  <c r="O140" i="1" s="1"/>
  <c r="CQ140" i="1"/>
  <c r="CR140" i="1"/>
  <c r="CS140" i="1"/>
  <c r="CT140" i="1"/>
  <c r="CU140" i="1"/>
  <c r="T140" i="1" s="1"/>
  <c r="CV140" i="1"/>
  <c r="CW140" i="1"/>
  <c r="CX140" i="1"/>
  <c r="W140" i="1" s="1"/>
  <c r="CY140" i="1"/>
  <c r="X140" i="1" s="1"/>
  <c r="AZ262" i="6" s="1"/>
  <c r="L260" i="6" s="1"/>
  <c r="CZ140" i="1"/>
  <c r="Y140" i="1" s="1"/>
  <c r="BA262" i="6" s="1"/>
  <c r="L261" i="6" s="1"/>
  <c r="FR140" i="1"/>
  <c r="GL140" i="1"/>
  <c r="GN140" i="1"/>
  <c r="GO140" i="1"/>
  <c r="GV140" i="1"/>
  <c r="HC140" i="1"/>
  <c r="GX140" i="1" s="1"/>
  <c r="GM140" i="1" s="1"/>
  <c r="GP140" i="1" s="1"/>
  <c r="C141" i="1"/>
  <c r="D141" i="1"/>
  <c r="P141" i="1"/>
  <c r="Q141" i="1"/>
  <c r="R141" i="1"/>
  <c r="S141" i="1"/>
  <c r="U141" i="1"/>
  <c r="G264" i="6" s="1"/>
  <c r="V141" i="1"/>
  <c r="AC141" i="1"/>
  <c r="AE141" i="1"/>
  <c r="AD141" i="1" s="1"/>
  <c r="AF141" i="1"/>
  <c r="AG141" i="1"/>
  <c r="AH141" i="1"/>
  <c r="AI141" i="1"/>
  <c r="AJ141" i="1"/>
  <c r="CP141" i="1"/>
  <c r="O141" i="1" s="1"/>
  <c r="CQ141" i="1"/>
  <c r="CR141" i="1"/>
  <c r="CS141" i="1"/>
  <c r="CT141" i="1"/>
  <c r="CU141" i="1"/>
  <c r="T141" i="1" s="1"/>
  <c r="CV141" i="1"/>
  <c r="CW141" i="1"/>
  <c r="CX141" i="1"/>
  <c r="W141" i="1" s="1"/>
  <c r="CY141" i="1"/>
  <c r="X141" i="1" s="1"/>
  <c r="AZ272" i="6" s="1"/>
  <c r="L270" i="6" s="1"/>
  <c r="CZ141" i="1"/>
  <c r="Y141" i="1" s="1"/>
  <c r="BA272" i="6" s="1"/>
  <c r="L271" i="6" s="1"/>
  <c r="FR141" i="1"/>
  <c r="GL141" i="1"/>
  <c r="GN141" i="1"/>
  <c r="GO141" i="1"/>
  <c r="GV141" i="1"/>
  <c r="HC141" i="1"/>
  <c r="GX141" i="1" s="1"/>
  <c r="GM141" i="1" s="1"/>
  <c r="GP141" i="1" s="1"/>
  <c r="C142" i="1"/>
  <c r="D142" i="1"/>
  <c r="P142" i="1"/>
  <c r="Q142" i="1"/>
  <c r="R142" i="1"/>
  <c r="S142" i="1"/>
  <c r="U142" i="1"/>
  <c r="G274" i="6" s="1"/>
  <c r="V142" i="1"/>
  <c r="AC142" i="1"/>
  <c r="AE142" i="1"/>
  <c r="AD142" i="1" s="1"/>
  <c r="AF142" i="1"/>
  <c r="AG142" i="1"/>
  <c r="AH142" i="1"/>
  <c r="AI142" i="1"/>
  <c r="AJ142" i="1"/>
  <c r="CP142" i="1"/>
  <c r="O142" i="1" s="1"/>
  <c r="CQ142" i="1"/>
  <c r="CR142" i="1"/>
  <c r="CS142" i="1"/>
  <c r="CT142" i="1"/>
  <c r="CU142" i="1"/>
  <c r="T142" i="1" s="1"/>
  <c r="CV142" i="1"/>
  <c r="CW142" i="1"/>
  <c r="CX142" i="1"/>
  <c r="W142" i="1" s="1"/>
  <c r="CY142" i="1"/>
  <c r="X142" i="1" s="1"/>
  <c r="AZ281" i="6" s="1"/>
  <c r="L279" i="6" s="1"/>
  <c r="CZ142" i="1"/>
  <c r="Y142" i="1" s="1"/>
  <c r="BA281" i="6" s="1"/>
  <c r="L280" i="6" s="1"/>
  <c r="FR142" i="1"/>
  <c r="GL142" i="1"/>
  <c r="GN142" i="1"/>
  <c r="GO142" i="1"/>
  <c r="GV142" i="1"/>
  <c r="HC142" i="1"/>
  <c r="GX142" i="1" s="1"/>
  <c r="GM142" i="1" s="1"/>
  <c r="GP142" i="1" s="1"/>
  <c r="C143" i="1"/>
  <c r="D143" i="1"/>
  <c r="P143" i="1"/>
  <c r="Q143" i="1"/>
  <c r="R143" i="1"/>
  <c r="S143" i="1"/>
  <c r="U143" i="1"/>
  <c r="G283" i="6" s="1"/>
  <c r="V143" i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290" i="6" s="1"/>
  <c r="L288" i="6" s="1"/>
  <c r="CZ143" i="1"/>
  <c r="Y143" i="1" s="1"/>
  <c r="BA290" i="6" s="1"/>
  <c r="L289" i="6" s="1"/>
  <c r="FR143" i="1"/>
  <c r="GL143" i="1"/>
  <c r="GN143" i="1"/>
  <c r="GO143" i="1"/>
  <c r="GV143" i="1"/>
  <c r="HC143" i="1"/>
  <c r="GX143" i="1" s="1"/>
  <c r="GM143" i="1" s="1"/>
  <c r="GP143" i="1" s="1"/>
  <c r="C144" i="1"/>
  <c r="D144" i="1"/>
  <c r="P144" i="1"/>
  <c r="Q144" i="1"/>
  <c r="R144" i="1"/>
  <c r="S144" i="1"/>
  <c r="U144" i="1"/>
  <c r="G292" i="6" s="1"/>
  <c r="V144" i="1"/>
  <c r="AC144" i="1"/>
  <c r="AE144" i="1"/>
  <c r="AD144" i="1" s="1"/>
  <c r="AF144" i="1"/>
  <c r="AG144" i="1"/>
  <c r="AH144" i="1"/>
  <c r="AI144" i="1"/>
  <c r="AJ144" i="1"/>
  <c r="CP144" i="1"/>
  <c r="O144" i="1" s="1"/>
  <c r="CQ144" i="1"/>
  <c r="CR144" i="1"/>
  <c r="CS144" i="1"/>
  <c r="CT144" i="1"/>
  <c r="CU144" i="1"/>
  <c r="T144" i="1" s="1"/>
  <c r="CV144" i="1"/>
  <c r="CW144" i="1"/>
  <c r="CX144" i="1"/>
  <c r="W144" i="1" s="1"/>
  <c r="CY144" i="1"/>
  <c r="X144" i="1" s="1"/>
  <c r="AZ298" i="6" s="1"/>
  <c r="L296" i="6" s="1"/>
  <c r="CZ144" i="1"/>
  <c r="Y144" i="1" s="1"/>
  <c r="BA298" i="6" s="1"/>
  <c r="L297" i="6" s="1"/>
  <c r="FR144" i="1"/>
  <c r="GL144" i="1"/>
  <c r="GN144" i="1"/>
  <c r="GO144" i="1"/>
  <c r="GV144" i="1"/>
  <c r="HC144" i="1"/>
  <c r="GX144" i="1" s="1"/>
  <c r="GM144" i="1" s="1"/>
  <c r="GP144" i="1" s="1"/>
  <c r="C145" i="1"/>
  <c r="D145" i="1"/>
  <c r="P145" i="1"/>
  <c r="Q145" i="1"/>
  <c r="R145" i="1"/>
  <c r="S145" i="1"/>
  <c r="U145" i="1"/>
  <c r="G300" i="6" s="1"/>
  <c r="V145" i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306" i="6" s="1"/>
  <c r="L304" i="6" s="1"/>
  <c r="CZ145" i="1"/>
  <c r="Y145" i="1" s="1"/>
  <c r="BA306" i="6" s="1"/>
  <c r="L305" i="6" s="1"/>
  <c r="FR145" i="1"/>
  <c r="GL145" i="1"/>
  <c r="GN145" i="1"/>
  <c r="GO145" i="1"/>
  <c r="GV145" i="1"/>
  <c r="HC145" i="1"/>
  <c r="GX145" i="1" s="1"/>
  <c r="GM145" i="1" s="1"/>
  <c r="GP145" i="1" s="1"/>
  <c r="C146" i="1"/>
  <c r="D146" i="1"/>
  <c r="P146" i="1"/>
  <c r="Q146" i="1"/>
  <c r="R146" i="1"/>
  <c r="S146" i="1"/>
  <c r="U146" i="1"/>
  <c r="G308" i="6" s="1"/>
  <c r="V146" i="1"/>
  <c r="AC146" i="1"/>
  <c r="AE146" i="1"/>
  <c r="AD146" i="1" s="1"/>
  <c r="AF146" i="1"/>
  <c r="AG146" i="1"/>
  <c r="AH146" i="1"/>
  <c r="AI146" i="1"/>
  <c r="AJ146" i="1"/>
  <c r="CP146" i="1"/>
  <c r="O146" i="1" s="1"/>
  <c r="CQ146" i="1"/>
  <c r="CR146" i="1"/>
  <c r="CS146" i="1"/>
  <c r="CT146" i="1"/>
  <c r="CU146" i="1"/>
  <c r="T146" i="1" s="1"/>
  <c r="CV146" i="1"/>
  <c r="CW146" i="1"/>
  <c r="CX146" i="1"/>
  <c r="W146" i="1" s="1"/>
  <c r="CY146" i="1"/>
  <c r="X146" i="1" s="1"/>
  <c r="AZ314" i="6" s="1"/>
  <c r="L312" i="6" s="1"/>
  <c r="CZ146" i="1"/>
  <c r="Y146" i="1" s="1"/>
  <c r="BA314" i="6" s="1"/>
  <c r="L313" i="6" s="1"/>
  <c r="FR146" i="1"/>
  <c r="GL146" i="1"/>
  <c r="GN146" i="1"/>
  <c r="GO146" i="1"/>
  <c r="GV146" i="1"/>
  <c r="HC146" i="1"/>
  <c r="GX146" i="1" s="1"/>
  <c r="GM146" i="1" s="1"/>
  <c r="GP146" i="1" s="1"/>
  <c r="C147" i="1"/>
  <c r="D147" i="1"/>
  <c r="P147" i="1"/>
  <c r="Q147" i="1"/>
  <c r="R147" i="1"/>
  <c r="S147" i="1"/>
  <c r="U147" i="1"/>
  <c r="G316" i="6" s="1"/>
  <c r="V147" i="1"/>
  <c r="AC147" i="1"/>
  <c r="AE147" i="1"/>
  <c r="AD147" i="1" s="1"/>
  <c r="AF147" i="1"/>
  <c r="AG147" i="1"/>
  <c r="AH147" i="1"/>
  <c r="AI147" i="1"/>
  <c r="AJ147" i="1"/>
  <c r="CP147" i="1"/>
  <c r="O147" i="1" s="1"/>
  <c r="CQ147" i="1"/>
  <c r="CR147" i="1"/>
  <c r="CS147" i="1"/>
  <c r="CT147" i="1"/>
  <c r="CU147" i="1"/>
  <c r="T147" i="1" s="1"/>
  <c r="CV147" i="1"/>
  <c r="CW147" i="1"/>
  <c r="CX147" i="1"/>
  <c r="W147" i="1" s="1"/>
  <c r="CY147" i="1"/>
  <c r="X147" i="1" s="1"/>
  <c r="AZ322" i="6" s="1"/>
  <c r="L320" i="6" s="1"/>
  <c r="CZ147" i="1"/>
  <c r="Y147" i="1" s="1"/>
  <c r="BA322" i="6" s="1"/>
  <c r="L321" i="6" s="1"/>
  <c r="FR147" i="1"/>
  <c r="GL147" i="1"/>
  <c r="GN147" i="1"/>
  <c r="GO147" i="1"/>
  <c r="GV147" i="1"/>
  <c r="HC147" i="1"/>
  <c r="GX147" i="1" s="1"/>
  <c r="GM147" i="1" s="1"/>
  <c r="GP147" i="1" s="1"/>
  <c r="C148" i="1"/>
  <c r="D148" i="1"/>
  <c r="P148" i="1"/>
  <c r="Q148" i="1"/>
  <c r="R148" i="1"/>
  <c r="S148" i="1"/>
  <c r="U148" i="1"/>
  <c r="G324" i="6" s="1"/>
  <c r="V148" i="1"/>
  <c r="AC148" i="1"/>
  <c r="AE148" i="1"/>
  <c r="AD148" i="1" s="1"/>
  <c r="AF148" i="1"/>
  <c r="AG148" i="1"/>
  <c r="AH148" i="1"/>
  <c r="AI148" i="1"/>
  <c r="AJ148" i="1"/>
  <c r="CP148" i="1"/>
  <c r="O148" i="1" s="1"/>
  <c r="CQ148" i="1"/>
  <c r="CR148" i="1"/>
  <c r="CS148" i="1"/>
  <c r="CT148" i="1"/>
  <c r="CU148" i="1"/>
  <c r="T148" i="1" s="1"/>
  <c r="CV148" i="1"/>
  <c r="CW148" i="1"/>
  <c r="CX148" i="1"/>
  <c r="W148" i="1" s="1"/>
  <c r="CY148" i="1"/>
  <c r="X148" i="1" s="1"/>
  <c r="AZ331" i="6" s="1"/>
  <c r="L329" i="6" s="1"/>
  <c r="CZ148" i="1"/>
  <c r="Y148" i="1" s="1"/>
  <c r="BA331" i="6" s="1"/>
  <c r="L330" i="6" s="1"/>
  <c r="FR148" i="1"/>
  <c r="GL148" i="1"/>
  <c r="GN148" i="1"/>
  <c r="GO148" i="1"/>
  <c r="GV148" i="1"/>
  <c r="HC148" i="1"/>
  <c r="GX148" i="1" s="1"/>
  <c r="GM148" i="1" s="1"/>
  <c r="GP148" i="1" s="1"/>
  <c r="C149" i="1"/>
  <c r="D149" i="1"/>
  <c r="P149" i="1"/>
  <c r="Q149" i="1"/>
  <c r="R149" i="1"/>
  <c r="S149" i="1"/>
  <c r="U149" i="1"/>
  <c r="G333" i="6" s="1"/>
  <c r="V149" i="1"/>
  <c r="AC149" i="1"/>
  <c r="AE149" i="1"/>
  <c r="AD149" i="1" s="1"/>
  <c r="AF149" i="1"/>
  <c r="AG149" i="1"/>
  <c r="AH149" i="1"/>
  <c r="AI149" i="1"/>
  <c r="AJ149" i="1"/>
  <c r="CP149" i="1"/>
  <c r="O149" i="1" s="1"/>
  <c r="CQ149" i="1"/>
  <c r="CR149" i="1"/>
  <c r="CS149" i="1"/>
  <c r="CT149" i="1"/>
  <c r="CU149" i="1"/>
  <c r="T149" i="1" s="1"/>
  <c r="CV149" i="1"/>
  <c r="CW149" i="1"/>
  <c r="CX149" i="1"/>
  <c r="W149" i="1" s="1"/>
  <c r="CY149" i="1"/>
  <c r="X149" i="1" s="1"/>
  <c r="AZ340" i="6" s="1"/>
  <c r="L338" i="6" s="1"/>
  <c r="CZ149" i="1"/>
  <c r="Y149" i="1" s="1"/>
  <c r="BA340" i="6" s="1"/>
  <c r="L339" i="6" s="1"/>
  <c r="FR149" i="1"/>
  <c r="GL149" i="1"/>
  <c r="GN149" i="1"/>
  <c r="GO149" i="1"/>
  <c r="GV149" i="1"/>
  <c r="HC149" i="1"/>
  <c r="GX149" i="1" s="1"/>
  <c r="GM149" i="1" s="1"/>
  <c r="GP149" i="1" s="1"/>
  <c r="C150" i="1"/>
  <c r="D150" i="1"/>
  <c r="P150" i="1"/>
  <c r="Q150" i="1"/>
  <c r="R150" i="1"/>
  <c r="S150" i="1"/>
  <c r="U150" i="1"/>
  <c r="G342" i="6" s="1"/>
  <c r="V150" i="1"/>
  <c r="AC150" i="1"/>
  <c r="AE150" i="1"/>
  <c r="AD150" i="1" s="1"/>
  <c r="AF150" i="1"/>
  <c r="AG150" i="1"/>
  <c r="AH150" i="1"/>
  <c r="AI150" i="1"/>
  <c r="AJ150" i="1"/>
  <c r="CP150" i="1"/>
  <c r="O150" i="1" s="1"/>
  <c r="CQ150" i="1"/>
  <c r="CR150" i="1"/>
  <c r="CS150" i="1"/>
  <c r="CT150" i="1"/>
  <c r="CU150" i="1"/>
  <c r="T150" i="1" s="1"/>
  <c r="CV150" i="1"/>
  <c r="CW150" i="1"/>
  <c r="CX150" i="1"/>
  <c r="W150" i="1" s="1"/>
  <c r="CY150" i="1"/>
  <c r="X150" i="1" s="1"/>
  <c r="AZ349" i="6" s="1"/>
  <c r="L347" i="6" s="1"/>
  <c r="CZ150" i="1"/>
  <c r="Y150" i="1" s="1"/>
  <c r="BA349" i="6" s="1"/>
  <c r="L348" i="6" s="1"/>
  <c r="FR150" i="1"/>
  <c r="GL150" i="1"/>
  <c r="GN150" i="1"/>
  <c r="GO150" i="1"/>
  <c r="GV150" i="1"/>
  <c r="HC150" i="1"/>
  <c r="GX150" i="1" s="1"/>
  <c r="GM150" i="1" s="1"/>
  <c r="GP150" i="1" s="1"/>
  <c r="C151" i="1"/>
  <c r="D151" i="1"/>
  <c r="P151" i="1"/>
  <c r="Q151" i="1"/>
  <c r="R151" i="1"/>
  <c r="S151" i="1"/>
  <c r="U151" i="1"/>
  <c r="G351" i="6" s="1"/>
  <c r="V151" i="1"/>
  <c r="AC151" i="1"/>
  <c r="AE151" i="1"/>
  <c r="AD151" i="1" s="1"/>
  <c r="AF151" i="1"/>
  <c r="AG151" i="1"/>
  <c r="AH151" i="1"/>
  <c r="AI151" i="1"/>
  <c r="AJ151" i="1"/>
  <c r="CP151" i="1"/>
  <c r="O151" i="1" s="1"/>
  <c r="CQ151" i="1"/>
  <c r="CR151" i="1"/>
  <c r="CS151" i="1"/>
  <c r="CT151" i="1"/>
  <c r="CU151" i="1"/>
  <c r="T151" i="1" s="1"/>
  <c r="CV151" i="1"/>
  <c r="CW151" i="1"/>
  <c r="CX151" i="1"/>
  <c r="W151" i="1" s="1"/>
  <c r="CY151" i="1"/>
  <c r="X151" i="1" s="1"/>
  <c r="AZ358" i="6" s="1"/>
  <c r="L356" i="6" s="1"/>
  <c r="CZ151" i="1"/>
  <c r="Y151" i="1" s="1"/>
  <c r="BA358" i="6" s="1"/>
  <c r="L357" i="6" s="1"/>
  <c r="FR151" i="1"/>
  <c r="GL151" i="1"/>
  <c r="GN151" i="1"/>
  <c r="GO151" i="1"/>
  <c r="GV151" i="1"/>
  <c r="HC151" i="1"/>
  <c r="GX151" i="1" s="1"/>
  <c r="GM151" i="1" s="1"/>
  <c r="GP151" i="1" s="1"/>
  <c r="C152" i="1"/>
  <c r="D152" i="1"/>
  <c r="I152" i="1"/>
  <c r="K152" i="1"/>
  <c r="V152" i="1"/>
  <c r="AC152" i="1"/>
  <c r="AE152" i="1"/>
  <c r="AD152" i="1" s="1"/>
  <c r="AF152" i="1"/>
  <c r="AG152" i="1"/>
  <c r="AH152" i="1"/>
  <c r="AI152" i="1"/>
  <c r="AJ152" i="1"/>
  <c r="CQ152" i="1"/>
  <c r="CR152" i="1"/>
  <c r="CS152" i="1"/>
  <c r="CT152" i="1"/>
  <c r="CU152" i="1"/>
  <c r="T152" i="1" s="1"/>
  <c r="CV152" i="1"/>
  <c r="CW152" i="1"/>
  <c r="CX152" i="1"/>
  <c r="W152" i="1" s="1"/>
  <c r="FR152" i="1"/>
  <c r="GL152" i="1"/>
  <c r="GN152" i="1"/>
  <c r="GO152" i="1"/>
  <c r="GV152" i="1"/>
  <c r="HC152" i="1"/>
  <c r="GX152" i="1" s="1"/>
  <c r="C153" i="1"/>
  <c r="D153" i="1"/>
  <c r="P153" i="1"/>
  <c r="Q153" i="1"/>
  <c r="R153" i="1"/>
  <c r="S153" i="1"/>
  <c r="U153" i="1"/>
  <c r="G370" i="6" s="1"/>
  <c r="V153" i="1"/>
  <c r="AC153" i="1"/>
  <c r="AE153" i="1"/>
  <c r="AD153" i="1" s="1"/>
  <c r="AF153" i="1"/>
  <c r="AG153" i="1"/>
  <c r="AH153" i="1"/>
  <c r="AI153" i="1"/>
  <c r="AJ153" i="1"/>
  <c r="CP153" i="1"/>
  <c r="O153" i="1" s="1"/>
  <c r="CQ153" i="1"/>
  <c r="CR153" i="1"/>
  <c r="CS153" i="1"/>
  <c r="CT153" i="1"/>
  <c r="CU153" i="1"/>
  <c r="T153" i="1" s="1"/>
  <c r="CV153" i="1"/>
  <c r="CW153" i="1"/>
  <c r="CX153" i="1"/>
  <c r="W153" i="1" s="1"/>
  <c r="CY153" i="1"/>
  <c r="X153" i="1" s="1"/>
  <c r="AZ377" i="6" s="1"/>
  <c r="L375" i="6" s="1"/>
  <c r="CZ153" i="1"/>
  <c r="Y153" i="1" s="1"/>
  <c r="BA377" i="6" s="1"/>
  <c r="L376" i="6" s="1"/>
  <c r="FR153" i="1"/>
  <c r="GL153" i="1"/>
  <c r="GN153" i="1"/>
  <c r="GO153" i="1"/>
  <c r="GV153" i="1"/>
  <c r="HC153" i="1"/>
  <c r="GX153" i="1" s="1"/>
  <c r="GM153" i="1" s="1"/>
  <c r="GP153" i="1" s="1"/>
  <c r="B155" i="1"/>
  <c r="B137" i="1" s="1"/>
  <c r="C155" i="1"/>
  <c r="C137" i="1" s="1"/>
  <c r="D155" i="1"/>
  <c r="D137" i="1" s="1"/>
  <c r="F155" i="1"/>
  <c r="F137" i="1" s="1"/>
  <c r="G155" i="1"/>
  <c r="G137" i="1" s="1"/>
  <c r="AG155" i="1"/>
  <c r="AI155" i="1"/>
  <c r="AJ155" i="1"/>
  <c r="BX155" i="1"/>
  <c r="BY155" i="1"/>
  <c r="BZ155" i="1"/>
  <c r="CB155" i="1"/>
  <c r="CC155" i="1"/>
  <c r="CG155" i="1"/>
  <c r="CI155" i="1"/>
  <c r="CJ155" i="1"/>
  <c r="CK155" i="1"/>
  <c r="CL155" i="1"/>
  <c r="CM155" i="1"/>
  <c r="B185" i="1"/>
  <c r="B22" i="1" s="1"/>
  <c r="C185" i="1"/>
  <c r="C22" i="1" s="1"/>
  <c r="D185" i="1"/>
  <c r="D22" i="1" s="1"/>
  <c r="F185" i="1"/>
  <c r="F22" i="1" s="1"/>
  <c r="G185" i="1"/>
  <c r="G22" i="1" s="1"/>
  <c r="B218" i="1"/>
  <c r="B18" i="1" s="1"/>
  <c r="C218" i="1"/>
  <c r="C18" i="1" s="1"/>
  <c r="D218" i="1"/>
  <c r="D18" i="1" s="1"/>
  <c r="F218" i="1"/>
  <c r="F18" i="1" s="1"/>
  <c r="G218" i="1"/>
  <c r="G18" i="1" s="1"/>
  <c r="AR73" i="6" l="1"/>
  <c r="AT73" i="6"/>
  <c r="L59" i="6"/>
  <c r="L111" i="6"/>
  <c r="L109" i="6" s="1"/>
  <c r="L71" i="6"/>
  <c r="L72" i="6"/>
  <c r="AR98" i="6"/>
  <c r="AT98" i="6"/>
  <c r="L79" i="6"/>
  <c r="AR149" i="6"/>
  <c r="AT149" i="6"/>
  <c r="L135" i="6"/>
  <c r="L147" i="6"/>
  <c r="L148" i="6"/>
  <c r="AR173" i="6"/>
  <c r="AT173" i="6"/>
  <c r="L154" i="6"/>
  <c r="AW208" i="6"/>
  <c r="AX208" i="6"/>
  <c r="AN208" i="6"/>
  <c r="K208" i="6"/>
  <c r="I208" i="6" s="1"/>
  <c r="L226" i="6"/>
  <c r="L214" i="6"/>
  <c r="AW210" i="6"/>
  <c r="L445" i="6" s="1"/>
  <c r="L443" i="6" s="1"/>
  <c r="AN210" i="6"/>
  <c r="K210" i="6"/>
  <c r="I210" i="6" s="1"/>
  <c r="AR252" i="6"/>
  <c r="L248" i="6"/>
  <c r="L250" i="6"/>
  <c r="L251" i="6"/>
  <c r="L468" i="6"/>
  <c r="L384" i="6"/>
  <c r="L470" i="6"/>
  <c r="L386" i="6"/>
  <c r="L474" i="6"/>
  <c r="L472" i="6" s="1"/>
  <c r="L390" i="6"/>
  <c r="L388" i="6" s="1"/>
  <c r="AR262" i="6"/>
  <c r="L259" i="6" s="1"/>
  <c r="AN262" i="6"/>
  <c r="K262" i="6"/>
  <c r="L258" i="6"/>
  <c r="AR272" i="6"/>
  <c r="L269" i="6" s="1"/>
  <c r="AN272" i="6"/>
  <c r="K272" i="6"/>
  <c r="L268" i="6"/>
  <c r="AR281" i="6"/>
  <c r="L278" i="6" s="1"/>
  <c r="AN281" i="6"/>
  <c r="K281" i="6"/>
  <c r="L277" i="6"/>
  <c r="AR290" i="6"/>
  <c r="L287" i="6" s="1"/>
  <c r="AN290" i="6"/>
  <c r="K290" i="6"/>
  <c r="L286" i="6"/>
  <c r="AR298" i="6"/>
  <c r="L295" i="6" s="1"/>
  <c r="AN298" i="6"/>
  <c r="K298" i="6"/>
  <c r="L294" i="6"/>
  <c r="AR306" i="6"/>
  <c r="L303" i="6" s="1"/>
  <c r="AN306" i="6"/>
  <c r="K306" i="6"/>
  <c r="L302" i="6"/>
  <c r="AR314" i="6"/>
  <c r="L311" i="6" s="1"/>
  <c r="AN314" i="6"/>
  <c r="K314" i="6"/>
  <c r="L310" i="6"/>
  <c r="AR322" i="6"/>
  <c r="L319" i="6" s="1"/>
  <c r="AN322" i="6"/>
  <c r="K322" i="6"/>
  <c r="L318" i="6"/>
  <c r="AR331" i="6"/>
  <c r="L328" i="6" s="1"/>
  <c r="AN331" i="6"/>
  <c r="K331" i="6"/>
  <c r="L327" i="6"/>
  <c r="AR340" i="6"/>
  <c r="L337" i="6" s="1"/>
  <c r="AN340" i="6"/>
  <c r="K340" i="6"/>
  <c r="L336" i="6"/>
  <c r="AR349" i="6"/>
  <c r="L346" i="6" s="1"/>
  <c r="AN349" i="6"/>
  <c r="K349" i="6"/>
  <c r="L345" i="6"/>
  <c r="AR358" i="6"/>
  <c r="L355" i="6" s="1"/>
  <c r="AN358" i="6"/>
  <c r="K358" i="6"/>
  <c r="L354" i="6"/>
  <c r="AR368" i="6"/>
  <c r="L365" i="6" s="1"/>
  <c r="L364" i="6"/>
  <c r="AR377" i="6"/>
  <c r="L374" i="6" s="1"/>
  <c r="AN377" i="6"/>
  <c r="K377" i="6"/>
  <c r="L373" i="6"/>
  <c r="CM137" i="1"/>
  <c r="BD155" i="1"/>
  <c r="CL137" i="1"/>
  <c r="BC155" i="1"/>
  <c r="CK137" i="1"/>
  <c r="BB155" i="1"/>
  <c r="CJ137" i="1"/>
  <c r="BA155" i="1"/>
  <c r="CI137" i="1"/>
  <c r="AZ155" i="1"/>
  <c r="CG137" i="1"/>
  <c r="AX155" i="1"/>
  <c r="CC137" i="1"/>
  <c r="AT155" i="1"/>
  <c r="CB137" i="1"/>
  <c r="AS155" i="1"/>
  <c r="BZ137" i="1"/>
  <c r="AQ155" i="1"/>
  <c r="BY137" i="1"/>
  <c r="AP155" i="1"/>
  <c r="BX137" i="1"/>
  <c r="AO155" i="1"/>
  <c r="AJ137" i="1"/>
  <c r="W155" i="1"/>
  <c r="AI137" i="1"/>
  <c r="V155" i="1"/>
  <c r="AG137" i="1"/>
  <c r="T155" i="1"/>
  <c r="AB153" i="1"/>
  <c r="AB152" i="1"/>
  <c r="CU64" i="3"/>
  <c r="CV64" i="3"/>
  <c r="CX64" i="3"/>
  <c r="CU65" i="3"/>
  <c r="CV65" i="3"/>
  <c r="CX65" i="3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CM100" i="1"/>
  <c r="BD105" i="1"/>
  <c r="CL100" i="1"/>
  <c r="BC105" i="1"/>
  <c r="CK100" i="1"/>
  <c r="BB105" i="1"/>
  <c r="CJ100" i="1"/>
  <c r="BA105" i="1"/>
  <c r="CI100" i="1"/>
  <c r="AZ105" i="1"/>
  <c r="CH100" i="1"/>
  <c r="AY105" i="1"/>
  <c r="CG100" i="1"/>
  <c r="AX105" i="1"/>
  <c r="CF100" i="1"/>
  <c r="AW105" i="1"/>
  <c r="CE100" i="1"/>
  <c r="AV105" i="1"/>
  <c r="CD100" i="1"/>
  <c r="AU105" i="1"/>
  <c r="BZ100" i="1"/>
  <c r="AQ105" i="1"/>
  <c r="BY100" i="1"/>
  <c r="AP105" i="1"/>
  <c r="BX100" i="1"/>
  <c r="AO105" i="1"/>
  <c r="AL100" i="1"/>
  <c r="Y105" i="1"/>
  <c r="AK100" i="1"/>
  <c r="X105" i="1"/>
  <c r="AJ100" i="1"/>
  <c r="W105" i="1"/>
  <c r="AI100" i="1"/>
  <c r="V105" i="1"/>
  <c r="AH100" i="1"/>
  <c r="U105" i="1"/>
  <c r="AG100" i="1"/>
  <c r="T105" i="1"/>
  <c r="AF100" i="1"/>
  <c r="S105" i="1"/>
  <c r="AE100" i="1"/>
  <c r="R105" i="1"/>
  <c r="AD100" i="1"/>
  <c r="Q105" i="1"/>
  <c r="AC100" i="1"/>
  <c r="P105" i="1"/>
  <c r="CP103" i="1"/>
  <c r="O103" i="1" s="1"/>
  <c r="GM103" i="1" s="1"/>
  <c r="GO103" i="1" s="1"/>
  <c r="CC105" i="1" s="1"/>
  <c r="AB103" i="1"/>
  <c r="CP102" i="1"/>
  <c r="O102" i="1" s="1"/>
  <c r="AB102" i="1"/>
  <c r="CM63" i="1"/>
  <c r="BD68" i="1"/>
  <c r="CL63" i="1"/>
  <c r="BC68" i="1"/>
  <c r="CK63" i="1"/>
  <c r="BB68" i="1"/>
  <c r="CJ63" i="1"/>
  <c r="BA68" i="1"/>
  <c r="CI63" i="1"/>
  <c r="AZ68" i="1"/>
  <c r="CG63" i="1"/>
  <c r="AX68" i="1"/>
  <c r="CD63" i="1"/>
  <c r="AU68" i="1"/>
  <c r="CB63" i="1"/>
  <c r="AS68" i="1"/>
  <c r="BZ63" i="1"/>
  <c r="AQ68" i="1"/>
  <c r="BY63" i="1"/>
  <c r="AP68" i="1"/>
  <c r="BX63" i="1"/>
  <c r="AO68" i="1"/>
  <c r="AJ63" i="1"/>
  <c r="W68" i="1"/>
  <c r="AG63" i="1"/>
  <c r="T68" i="1"/>
  <c r="AB66" i="1"/>
  <c r="CU28" i="3"/>
  <c r="CV28" i="3"/>
  <c r="U66" i="1" s="1"/>
  <c r="CX28" i="3"/>
  <c r="CX29" i="3"/>
  <c r="CW30" i="3"/>
  <c r="CX30" i="3"/>
  <c r="CW31" i="3"/>
  <c r="CX31" i="3"/>
  <c r="CW32" i="3"/>
  <c r="CX32" i="3"/>
  <c r="CW33" i="3"/>
  <c r="CX33" i="3"/>
  <c r="CX34" i="3"/>
  <c r="CX35" i="3"/>
  <c r="CX36" i="3"/>
  <c r="CX37" i="3"/>
  <c r="CX38" i="3"/>
  <c r="CX39" i="3"/>
  <c r="AB65" i="1"/>
  <c r="CM26" i="1"/>
  <c r="BD31" i="1"/>
  <c r="CL26" i="1"/>
  <c r="BC31" i="1"/>
  <c r="CK26" i="1"/>
  <c r="BB31" i="1"/>
  <c r="CJ26" i="1"/>
  <c r="BA31" i="1"/>
  <c r="CI26" i="1"/>
  <c r="AZ31" i="1"/>
  <c r="CG26" i="1"/>
  <c r="AX31" i="1"/>
  <c r="CD26" i="1"/>
  <c r="AU31" i="1"/>
  <c r="CB26" i="1"/>
  <c r="AS31" i="1"/>
  <c r="BZ26" i="1"/>
  <c r="AQ31" i="1"/>
  <c r="BY26" i="1"/>
  <c r="AP31" i="1"/>
  <c r="BX26" i="1"/>
  <c r="AO31" i="1"/>
  <c r="AJ26" i="1"/>
  <c r="W31" i="1"/>
  <c r="AG26" i="1"/>
  <c r="T31" i="1"/>
  <c r="AB29" i="1"/>
  <c r="CU9" i="3"/>
  <c r="CV9" i="3"/>
  <c r="U29" i="1" s="1"/>
  <c r="CX9" i="3"/>
  <c r="CX10" i="3"/>
  <c r="CW11" i="3"/>
  <c r="CX11" i="3"/>
  <c r="CW12" i="3"/>
  <c r="CX12" i="3"/>
  <c r="CW13" i="3"/>
  <c r="CX13" i="3"/>
  <c r="CW14" i="3"/>
  <c r="CX14" i="3"/>
  <c r="CX15" i="3"/>
  <c r="CX16" i="3"/>
  <c r="CX17" i="3"/>
  <c r="CX18" i="3"/>
  <c r="CX19" i="3"/>
  <c r="CX20" i="3"/>
  <c r="AB28" i="1"/>
  <c r="AH31" i="1" l="1"/>
  <c r="G77" i="6"/>
  <c r="AH68" i="1"/>
  <c r="G152" i="6"/>
  <c r="BU377" i="6"/>
  <c r="BV377" i="6" s="1"/>
  <c r="BR377" i="6"/>
  <c r="I377" i="6"/>
  <c r="BU358" i="6"/>
  <c r="BV358" i="6" s="1"/>
  <c r="BR358" i="6"/>
  <c r="I358" i="6"/>
  <c r="BU349" i="6"/>
  <c r="BV349" i="6" s="1"/>
  <c r="BR349" i="6"/>
  <c r="I349" i="6"/>
  <c r="BU340" i="6"/>
  <c r="BV340" i="6" s="1"/>
  <c r="BR340" i="6"/>
  <c r="I340" i="6"/>
  <c r="BU331" i="6"/>
  <c r="BV331" i="6" s="1"/>
  <c r="BR331" i="6"/>
  <c r="I331" i="6"/>
  <c r="BU322" i="6"/>
  <c r="BV322" i="6" s="1"/>
  <c r="BR322" i="6"/>
  <c r="I322" i="6"/>
  <c r="BU314" i="6"/>
  <c r="BV314" i="6" s="1"/>
  <c r="BR314" i="6"/>
  <c r="I314" i="6"/>
  <c r="BU306" i="6"/>
  <c r="BV306" i="6" s="1"/>
  <c r="BR306" i="6"/>
  <c r="I306" i="6"/>
  <c r="BU298" i="6"/>
  <c r="BV298" i="6" s="1"/>
  <c r="BR298" i="6"/>
  <c r="I298" i="6"/>
  <c r="BU290" i="6"/>
  <c r="BV290" i="6" s="1"/>
  <c r="BR290" i="6"/>
  <c r="I290" i="6"/>
  <c r="BU281" i="6"/>
  <c r="BV281" i="6" s="1"/>
  <c r="BR281" i="6"/>
  <c r="I281" i="6"/>
  <c r="BU272" i="6"/>
  <c r="BV272" i="6" s="1"/>
  <c r="BR272" i="6"/>
  <c r="I272" i="6"/>
  <c r="BU262" i="6"/>
  <c r="BV262" i="6" s="1"/>
  <c r="BR262" i="6"/>
  <c r="I262" i="6"/>
  <c r="L382" i="6"/>
  <c r="L466" i="6"/>
  <c r="AN252" i="6"/>
  <c r="K252" i="6"/>
  <c r="L477" i="6"/>
  <c r="L465" i="6"/>
  <c r="L463" i="6" s="1"/>
  <c r="L393" i="6"/>
  <c r="L381" i="6"/>
  <c r="L379" i="6" s="1"/>
  <c r="L249" i="6"/>
  <c r="L506" i="6"/>
  <c r="L237" i="6"/>
  <c r="L223" i="6"/>
  <c r="L221" i="6" s="1"/>
  <c r="L212" i="6" s="1"/>
  <c r="L235" i="6" s="1"/>
  <c r="L494" i="6"/>
  <c r="L492" i="6" s="1"/>
  <c r="AO173" i="6"/>
  <c r="L169" i="6"/>
  <c r="L170" i="6"/>
  <c r="AO149" i="6"/>
  <c r="L180" i="6" s="1"/>
  <c r="AN149" i="6"/>
  <c r="K149" i="6"/>
  <c r="I149" i="6" s="1"/>
  <c r="L145" i="6"/>
  <c r="L182" i="6"/>
  <c r="L189" i="6"/>
  <c r="L177" i="6"/>
  <c r="L146" i="6"/>
  <c r="AO98" i="6"/>
  <c r="L94" i="6"/>
  <c r="L95" i="6"/>
  <c r="AO73" i="6"/>
  <c r="AN73" i="6"/>
  <c r="K73" i="6"/>
  <c r="I73" i="6" s="1"/>
  <c r="L69" i="6"/>
  <c r="K41" i="6"/>
  <c r="L490" i="6"/>
  <c r="L441" i="6"/>
  <c r="L107" i="6"/>
  <c r="K40" i="6"/>
  <c r="L497" i="6"/>
  <c r="L485" i="6"/>
  <c r="L448" i="6"/>
  <c r="L436" i="6"/>
  <c r="L114" i="6"/>
  <c r="L102" i="6"/>
  <c r="L70" i="6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J16" i="3" s="1"/>
  <c r="DG16" i="3"/>
  <c r="DH16" i="3"/>
  <c r="DI16" i="3"/>
  <c r="DF15" i="3"/>
  <c r="DJ15" i="3" s="1"/>
  <c r="DG15" i="3"/>
  <c r="DH15" i="3"/>
  <c r="DI15" i="3"/>
  <c r="DF14" i="3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V29" i="1"/>
  <c r="DF10" i="3"/>
  <c r="DG10" i="3"/>
  <c r="DH10" i="3"/>
  <c r="DI10" i="3"/>
  <c r="DJ10" i="3" s="1"/>
  <c r="DF9" i="3"/>
  <c r="P29" i="1" s="1"/>
  <c r="DG9" i="3"/>
  <c r="Q29" i="1" s="1"/>
  <c r="AD31" i="1" s="1"/>
  <c r="DH9" i="3"/>
  <c r="R29" i="1" s="1"/>
  <c r="AE31" i="1" s="1"/>
  <c r="DI9" i="3"/>
  <c r="AH26" i="1"/>
  <c r="U31" i="1"/>
  <c r="T26" i="1"/>
  <c r="F52" i="1"/>
  <c r="T185" i="1"/>
  <c r="W26" i="1"/>
  <c r="F55" i="1"/>
  <c r="W185" i="1"/>
  <c r="AO26" i="1"/>
  <c r="F35" i="1"/>
  <c r="AO185" i="1"/>
  <c r="AP26" i="1"/>
  <c r="F40" i="1"/>
  <c r="AP185" i="1"/>
  <c r="AQ26" i="1"/>
  <c r="F41" i="1"/>
  <c r="AQ185" i="1"/>
  <c r="AS26" i="1"/>
  <c r="F48" i="1"/>
  <c r="AU26" i="1"/>
  <c r="F50" i="1"/>
  <c r="AX26" i="1"/>
  <c r="F38" i="1"/>
  <c r="AX185" i="1"/>
  <c r="AZ26" i="1"/>
  <c r="F42" i="1"/>
  <c r="AZ185" i="1"/>
  <c r="BA26" i="1"/>
  <c r="F51" i="1"/>
  <c r="BA185" i="1"/>
  <c r="BB26" i="1"/>
  <c r="F44" i="1"/>
  <c r="BB185" i="1"/>
  <c r="BC26" i="1"/>
  <c r="F47" i="1"/>
  <c r="BC185" i="1"/>
  <c r="BD26" i="1"/>
  <c r="F56" i="1"/>
  <c r="BD185" i="1"/>
  <c r="DF39" i="3"/>
  <c r="DJ39" i="3" s="1"/>
  <c r="DG39" i="3"/>
  <c r="DH39" i="3"/>
  <c r="DI39" i="3"/>
  <c r="DF38" i="3"/>
  <c r="DJ38" i="3" s="1"/>
  <c r="DG38" i="3"/>
  <c r="DH38" i="3"/>
  <c r="DI38" i="3"/>
  <c r="DF37" i="3"/>
  <c r="DJ37" i="3" s="1"/>
  <c r="DG37" i="3"/>
  <c r="DH37" i="3"/>
  <c r="DI37" i="3"/>
  <c r="DF36" i="3"/>
  <c r="DJ36" i="3" s="1"/>
  <c r="DG36" i="3"/>
  <c r="DH36" i="3"/>
  <c r="DI36" i="3"/>
  <c r="DF35" i="3"/>
  <c r="DJ35" i="3" s="1"/>
  <c r="DG35" i="3"/>
  <c r="DH35" i="3"/>
  <c r="DI35" i="3"/>
  <c r="DF34" i="3"/>
  <c r="DJ34" i="3" s="1"/>
  <c r="DG34" i="3"/>
  <c r="DH34" i="3"/>
  <c r="DI34" i="3"/>
  <c r="DF33" i="3"/>
  <c r="DG33" i="3"/>
  <c r="DH33" i="3"/>
  <c r="DI33" i="3"/>
  <c r="DF32" i="3"/>
  <c r="DG32" i="3"/>
  <c r="DH32" i="3"/>
  <c r="DI32" i="3"/>
  <c r="DF31" i="3"/>
  <c r="DG31" i="3"/>
  <c r="DH31" i="3"/>
  <c r="DI31" i="3"/>
  <c r="DF30" i="3"/>
  <c r="DG30" i="3"/>
  <c r="DH30" i="3"/>
  <c r="DI30" i="3"/>
  <c r="V66" i="1"/>
  <c r="DF29" i="3"/>
  <c r="DG29" i="3"/>
  <c r="DH29" i="3"/>
  <c r="DI29" i="3"/>
  <c r="DJ29" i="3" s="1"/>
  <c r="DF28" i="3"/>
  <c r="P66" i="1" s="1"/>
  <c r="DG28" i="3"/>
  <c r="Q66" i="1" s="1"/>
  <c r="AD68" i="1" s="1"/>
  <c r="DH28" i="3"/>
  <c r="R66" i="1" s="1"/>
  <c r="AE68" i="1" s="1"/>
  <c r="DI28" i="3"/>
  <c r="AH63" i="1"/>
  <c r="U68" i="1"/>
  <c r="T63" i="1"/>
  <c r="F89" i="1"/>
  <c r="W63" i="1"/>
  <c r="F92" i="1"/>
  <c r="AO63" i="1"/>
  <c r="F72" i="1"/>
  <c r="AP63" i="1"/>
  <c r="F77" i="1"/>
  <c r="AQ63" i="1"/>
  <c r="F78" i="1"/>
  <c r="AS63" i="1"/>
  <c r="F85" i="1"/>
  <c r="AU63" i="1"/>
  <c r="F87" i="1"/>
  <c r="AX63" i="1"/>
  <c r="F75" i="1"/>
  <c r="AZ63" i="1"/>
  <c r="F79" i="1"/>
  <c r="BA63" i="1"/>
  <c r="F88" i="1"/>
  <c r="BB63" i="1"/>
  <c r="F81" i="1"/>
  <c r="BC63" i="1"/>
  <c r="F84" i="1"/>
  <c r="BD63" i="1"/>
  <c r="F93" i="1"/>
  <c r="GM102" i="1"/>
  <c r="AB105" i="1"/>
  <c r="CC100" i="1"/>
  <c r="AT105" i="1"/>
  <c r="P100" i="1"/>
  <c r="F108" i="1"/>
  <c r="Q100" i="1"/>
  <c r="F117" i="1"/>
  <c r="R100" i="1"/>
  <c r="F119" i="1"/>
  <c r="S100" i="1"/>
  <c r="F120" i="1"/>
  <c r="T100" i="1"/>
  <c r="F126" i="1"/>
  <c r="U100" i="1"/>
  <c r="F127" i="1"/>
  <c r="V100" i="1"/>
  <c r="F128" i="1"/>
  <c r="W100" i="1"/>
  <c r="F129" i="1"/>
  <c r="X100" i="1"/>
  <c r="F131" i="1"/>
  <c r="Y100" i="1"/>
  <c r="F132" i="1"/>
  <c r="AO100" i="1"/>
  <c r="F109" i="1"/>
  <c r="AP100" i="1"/>
  <c r="F114" i="1"/>
  <c r="AQ100" i="1"/>
  <c r="F115" i="1"/>
  <c r="AU100" i="1"/>
  <c r="F124" i="1"/>
  <c r="AV100" i="1"/>
  <c r="F110" i="1"/>
  <c r="AW100" i="1"/>
  <c r="F111" i="1"/>
  <c r="AX100" i="1"/>
  <c r="F112" i="1"/>
  <c r="AY100" i="1"/>
  <c r="F113" i="1"/>
  <c r="AZ100" i="1"/>
  <c r="F116" i="1"/>
  <c r="BA100" i="1"/>
  <c r="F125" i="1"/>
  <c r="BB100" i="1"/>
  <c r="F118" i="1"/>
  <c r="BC100" i="1"/>
  <c r="F121" i="1"/>
  <c r="BD100" i="1"/>
  <c r="F130" i="1"/>
  <c r="DF65" i="3"/>
  <c r="DG65" i="3"/>
  <c r="DH65" i="3"/>
  <c r="DI65" i="3"/>
  <c r="DJ65" i="3" s="1"/>
  <c r="DF64" i="3"/>
  <c r="P152" i="1" s="1"/>
  <c r="DG64" i="3"/>
  <c r="Q152" i="1" s="1"/>
  <c r="AD155" i="1" s="1"/>
  <c r="DH64" i="3"/>
  <c r="R152" i="1" s="1"/>
  <c r="AE155" i="1" s="1"/>
  <c r="DI64" i="3"/>
  <c r="U152" i="1"/>
  <c r="T137" i="1"/>
  <c r="F176" i="1"/>
  <c r="V137" i="1"/>
  <c r="F178" i="1"/>
  <c r="G407" i="6" s="1"/>
  <c r="W137" i="1"/>
  <c r="F179" i="1"/>
  <c r="AO137" i="1"/>
  <c r="F159" i="1"/>
  <c r="AP137" i="1"/>
  <c r="F164" i="1"/>
  <c r="AQ137" i="1"/>
  <c r="F165" i="1"/>
  <c r="AS137" i="1"/>
  <c r="F172" i="1"/>
  <c r="AT137" i="1"/>
  <c r="F173" i="1"/>
  <c r="AX137" i="1"/>
  <c r="F162" i="1"/>
  <c r="AZ137" i="1"/>
  <c r="F166" i="1"/>
  <c r="BA137" i="1"/>
  <c r="F175" i="1"/>
  <c r="BB137" i="1"/>
  <c r="F168" i="1"/>
  <c r="BC137" i="1"/>
  <c r="F171" i="1"/>
  <c r="BD137" i="1"/>
  <c r="F180" i="1"/>
  <c r="AH155" i="1" l="1"/>
  <c r="G361" i="6"/>
  <c r="AI68" i="1"/>
  <c r="G155" i="6"/>
  <c r="AI31" i="1"/>
  <c r="G80" i="6"/>
  <c r="L488" i="6"/>
  <c r="L486" i="6" s="1"/>
  <c r="L483" i="6" s="1"/>
  <c r="L439" i="6"/>
  <c r="L437" i="6" s="1"/>
  <c r="L434" i="6" s="1"/>
  <c r="L105" i="6"/>
  <c r="L103" i="6" s="1"/>
  <c r="L100" i="6" s="1"/>
  <c r="L178" i="6"/>
  <c r="L175" i="6" s="1"/>
  <c r="BU252" i="6"/>
  <c r="BV252" i="6" s="1"/>
  <c r="BR252" i="6"/>
  <c r="I252" i="6"/>
  <c r="AH137" i="1"/>
  <c r="U155" i="1"/>
  <c r="DJ64" i="3"/>
  <c r="S152" i="1"/>
  <c r="AE137" i="1"/>
  <c r="R155" i="1"/>
  <c r="AD137" i="1"/>
  <c r="Q155" i="1"/>
  <c r="CP152" i="1"/>
  <c r="O152" i="1" s="1"/>
  <c r="AC155" i="1"/>
  <c r="AT100" i="1"/>
  <c r="F123" i="1"/>
  <c r="AB100" i="1"/>
  <c r="O105" i="1"/>
  <c r="GN102" i="1"/>
  <c r="CB105" i="1" s="1"/>
  <c r="CA105" i="1"/>
  <c r="U63" i="1"/>
  <c r="F90" i="1"/>
  <c r="G202" i="6" s="1"/>
  <c r="DJ28" i="3"/>
  <c r="S66" i="1"/>
  <c r="AE63" i="1"/>
  <c r="R68" i="1"/>
  <c r="AD63" i="1"/>
  <c r="Q68" i="1"/>
  <c r="CP66" i="1"/>
  <c r="O66" i="1" s="1"/>
  <c r="AC68" i="1"/>
  <c r="AI63" i="1"/>
  <c r="V68" i="1"/>
  <c r="DJ30" i="3"/>
  <c r="DJ31" i="3"/>
  <c r="DJ32" i="3"/>
  <c r="DJ33" i="3"/>
  <c r="BD22" i="1"/>
  <c r="F210" i="1"/>
  <c r="BD218" i="1"/>
  <c r="BC22" i="1"/>
  <c r="F201" i="1"/>
  <c r="BC218" i="1"/>
  <c r="BB22" i="1"/>
  <c r="F198" i="1"/>
  <c r="BB218" i="1"/>
  <c r="BA22" i="1"/>
  <c r="F205" i="1"/>
  <c r="BA218" i="1"/>
  <c r="AZ22" i="1"/>
  <c r="F196" i="1"/>
  <c r="AZ218" i="1"/>
  <c r="AX22" i="1"/>
  <c r="F192" i="1"/>
  <c r="AX218" i="1"/>
  <c r="AQ22" i="1"/>
  <c r="F195" i="1"/>
  <c r="AQ218" i="1"/>
  <c r="AP22" i="1"/>
  <c r="F194" i="1"/>
  <c r="AP218" i="1"/>
  <c r="AO22" i="1"/>
  <c r="F189" i="1"/>
  <c r="AO218" i="1"/>
  <c r="W22" i="1"/>
  <c r="F209" i="1"/>
  <c r="W218" i="1"/>
  <c r="T22" i="1"/>
  <c r="F206" i="1"/>
  <c r="T218" i="1"/>
  <c r="U26" i="1"/>
  <c r="F53" i="1"/>
  <c r="G127" i="6" s="1"/>
  <c r="U185" i="1"/>
  <c r="DJ9" i="3"/>
  <c r="S29" i="1"/>
  <c r="AE26" i="1"/>
  <c r="R31" i="1"/>
  <c r="AD26" i="1"/>
  <c r="Q31" i="1"/>
  <c r="CP29" i="1"/>
  <c r="O29" i="1" s="1"/>
  <c r="AC31" i="1"/>
  <c r="AI26" i="1"/>
  <c r="V31" i="1"/>
  <c r="DJ11" i="3"/>
  <c r="DJ12" i="3"/>
  <c r="DJ13" i="3"/>
  <c r="DJ14" i="3"/>
  <c r="G16" i="2" l="1"/>
  <c r="G18" i="2" s="1"/>
  <c r="C44" i="6"/>
  <c r="V26" i="1"/>
  <c r="F54" i="1"/>
  <c r="G128" i="6" s="1"/>
  <c r="V185" i="1"/>
  <c r="AC26" i="1"/>
  <c r="P31" i="1"/>
  <c r="CE31" i="1"/>
  <c r="CF31" i="1"/>
  <c r="CH31" i="1"/>
  <c r="AB31" i="1"/>
  <c r="Q26" i="1"/>
  <c r="F43" i="1"/>
  <c r="Q185" i="1"/>
  <c r="R26" i="1"/>
  <c r="F45" i="1"/>
  <c r="R185" i="1"/>
  <c r="CY29" i="1"/>
  <c r="X29" i="1" s="1"/>
  <c r="AZ98" i="6" s="1"/>
  <c r="CZ29" i="1"/>
  <c r="Y29" i="1" s="1"/>
  <c r="AF31" i="1"/>
  <c r="U22" i="1"/>
  <c r="F207" i="1"/>
  <c r="U218" i="1"/>
  <c r="T18" i="1"/>
  <c r="F239" i="1"/>
  <c r="W18" i="1"/>
  <c r="F242" i="1"/>
  <c r="AO18" i="1"/>
  <c r="F222" i="1"/>
  <c r="AP18" i="1"/>
  <c r="F227" i="1"/>
  <c r="AQ18" i="1"/>
  <c r="F228" i="1"/>
  <c r="AX18" i="1"/>
  <c r="F225" i="1"/>
  <c r="AZ18" i="1"/>
  <c r="F229" i="1"/>
  <c r="BA18" i="1"/>
  <c r="F238" i="1"/>
  <c r="BB18" i="1"/>
  <c r="F231" i="1"/>
  <c r="BC18" i="1"/>
  <c r="F234" i="1"/>
  <c r="BD18" i="1"/>
  <c r="F243" i="1"/>
  <c r="V63" i="1"/>
  <c r="F91" i="1"/>
  <c r="G203" i="6" s="1"/>
  <c r="AC63" i="1"/>
  <c r="P68" i="1"/>
  <c r="CE68" i="1"/>
  <c r="CF68" i="1"/>
  <c r="CH68" i="1"/>
  <c r="AB68" i="1"/>
  <c r="Q63" i="1"/>
  <c r="F80" i="1"/>
  <c r="R63" i="1"/>
  <c r="F82" i="1"/>
  <c r="CY66" i="1"/>
  <c r="X66" i="1" s="1"/>
  <c r="AZ173" i="6" s="1"/>
  <c r="CZ66" i="1"/>
  <c r="Y66" i="1" s="1"/>
  <c r="AF68" i="1"/>
  <c r="CA100" i="1"/>
  <c r="AR105" i="1"/>
  <c r="CB100" i="1"/>
  <c r="AS105" i="1"/>
  <c r="O100" i="1"/>
  <c r="F107" i="1"/>
  <c r="AC137" i="1"/>
  <c r="P155" i="1"/>
  <c r="CE155" i="1"/>
  <c r="CF155" i="1"/>
  <c r="CH155" i="1"/>
  <c r="AB155" i="1"/>
  <c r="Q137" i="1"/>
  <c r="F167" i="1"/>
  <c r="R137" i="1"/>
  <c r="F169" i="1"/>
  <c r="CY152" i="1"/>
  <c r="X152" i="1" s="1"/>
  <c r="AZ368" i="6" s="1"/>
  <c r="CZ152" i="1"/>
  <c r="Y152" i="1" s="1"/>
  <c r="AF155" i="1"/>
  <c r="U137" i="1"/>
  <c r="F177" i="1"/>
  <c r="G406" i="6" s="1"/>
  <c r="AL155" i="1" l="1"/>
  <c r="BA368" i="6"/>
  <c r="L366" i="6"/>
  <c r="L478" i="6"/>
  <c r="L394" i="6"/>
  <c r="AL68" i="1"/>
  <c r="BA173" i="6"/>
  <c r="L171" i="6"/>
  <c r="L190" i="6"/>
  <c r="K42" i="6"/>
  <c r="G508" i="6"/>
  <c r="AL31" i="1"/>
  <c r="BA98" i="6"/>
  <c r="L96" i="6"/>
  <c r="L498" i="6"/>
  <c r="L449" i="6"/>
  <c r="L115" i="6"/>
  <c r="AF137" i="1"/>
  <c r="S155" i="1"/>
  <c r="AL137" i="1"/>
  <c r="Y155" i="1"/>
  <c r="AK155" i="1"/>
  <c r="GM152" i="1"/>
  <c r="AB137" i="1"/>
  <c r="O155" i="1"/>
  <c r="CH137" i="1"/>
  <c r="AY155" i="1"/>
  <c r="CF137" i="1"/>
  <c r="AW155" i="1"/>
  <c r="CE137" i="1"/>
  <c r="AV155" i="1"/>
  <c r="P137" i="1"/>
  <c r="F158" i="1"/>
  <c r="AS100" i="1"/>
  <c r="F122" i="1"/>
  <c r="AS185" i="1"/>
  <c r="AR100" i="1"/>
  <c r="F133" i="1"/>
  <c r="AF63" i="1"/>
  <c r="S68" i="1"/>
  <c r="AL63" i="1"/>
  <c r="Y68" i="1"/>
  <c r="AK68" i="1"/>
  <c r="GM66" i="1"/>
  <c r="AB63" i="1"/>
  <c r="O68" i="1"/>
  <c r="CH63" i="1"/>
  <c r="AY68" i="1"/>
  <c r="CF63" i="1"/>
  <c r="AW68" i="1"/>
  <c r="CE63" i="1"/>
  <c r="AV68" i="1"/>
  <c r="P63" i="1"/>
  <c r="F71" i="1"/>
  <c r="U18" i="1"/>
  <c r="F240" i="1"/>
  <c r="AF26" i="1"/>
  <c r="S31" i="1"/>
  <c r="AL26" i="1"/>
  <c r="Y31" i="1"/>
  <c r="AK31" i="1"/>
  <c r="GM29" i="1"/>
  <c r="R22" i="1"/>
  <c r="F199" i="1"/>
  <c r="R218" i="1"/>
  <c r="Q22" i="1"/>
  <c r="F197" i="1"/>
  <c r="Q218" i="1"/>
  <c r="AB26" i="1"/>
  <c r="O31" i="1"/>
  <c r="CH26" i="1"/>
  <c r="AY31" i="1"/>
  <c r="CF26" i="1"/>
  <c r="AW31" i="1"/>
  <c r="CE26" i="1"/>
  <c r="AV31" i="1"/>
  <c r="P26" i="1"/>
  <c r="F34" i="1"/>
  <c r="P185" i="1"/>
  <c r="V22" i="1"/>
  <c r="F208" i="1"/>
  <c r="V218" i="1"/>
  <c r="K43" i="6" l="1"/>
  <c r="G509" i="6"/>
  <c r="L97" i="6"/>
  <c r="L499" i="6"/>
  <c r="L450" i="6"/>
  <c r="L432" i="6" s="1"/>
  <c r="L116" i="6"/>
  <c r="L172" i="6"/>
  <c r="L191" i="6"/>
  <c r="L198" i="6" s="1"/>
  <c r="L367" i="6"/>
  <c r="L479" i="6"/>
  <c r="L395" i="6"/>
  <c r="L402" i="6" s="1"/>
  <c r="V18" i="1"/>
  <c r="F241" i="1"/>
  <c r="P22" i="1"/>
  <c r="F188" i="1"/>
  <c r="P218" i="1"/>
  <c r="AV26" i="1"/>
  <c r="F36" i="1"/>
  <c r="AV185" i="1"/>
  <c r="AW26" i="1"/>
  <c r="F37" i="1"/>
  <c r="AW185" i="1"/>
  <c r="AY26" i="1"/>
  <c r="F39" i="1"/>
  <c r="AY185" i="1"/>
  <c r="O26" i="1"/>
  <c r="F33" i="1"/>
  <c r="O185" i="1"/>
  <c r="Q18" i="1"/>
  <c r="F230" i="1"/>
  <c r="R18" i="1"/>
  <c r="F232" i="1"/>
  <c r="GO29" i="1"/>
  <c r="CC31" i="1" s="1"/>
  <c r="CA31" i="1"/>
  <c r="AK26" i="1"/>
  <c r="X31" i="1"/>
  <c r="Y26" i="1"/>
  <c r="F58" i="1"/>
  <c r="Y185" i="1"/>
  <c r="S26" i="1"/>
  <c r="F46" i="1"/>
  <c r="S185" i="1"/>
  <c r="AV63" i="1"/>
  <c r="F73" i="1"/>
  <c r="AW63" i="1"/>
  <c r="F74" i="1"/>
  <c r="AY63" i="1"/>
  <c r="F76" i="1"/>
  <c r="O63" i="1"/>
  <c r="F70" i="1"/>
  <c r="GO66" i="1"/>
  <c r="CC68" i="1" s="1"/>
  <c r="CA68" i="1"/>
  <c r="AK63" i="1"/>
  <c r="X68" i="1"/>
  <c r="Y63" i="1"/>
  <c r="F95" i="1"/>
  <c r="S63" i="1"/>
  <c r="F83" i="1"/>
  <c r="AS22" i="1"/>
  <c r="F202" i="1"/>
  <c r="AS218" i="1"/>
  <c r="AV137" i="1"/>
  <c r="F160" i="1"/>
  <c r="AW137" i="1"/>
  <c r="F161" i="1"/>
  <c r="AY137" i="1"/>
  <c r="F163" i="1"/>
  <c r="O137" i="1"/>
  <c r="F157" i="1"/>
  <c r="GP152" i="1"/>
  <c r="CD155" i="1" s="1"/>
  <c r="CA155" i="1"/>
  <c r="AK137" i="1"/>
  <c r="X155" i="1"/>
  <c r="Y137" i="1"/>
  <c r="F182" i="1"/>
  <c r="S137" i="1"/>
  <c r="F170" i="1"/>
  <c r="E16" i="2" l="1"/>
  <c r="C42" i="6"/>
  <c r="L461" i="6"/>
  <c r="L457" i="6"/>
  <c r="AN368" i="6"/>
  <c r="K368" i="6"/>
  <c r="AN173" i="6"/>
  <c r="K173" i="6"/>
  <c r="I173" i="6" s="1"/>
  <c r="AN98" i="6"/>
  <c r="K98" i="6"/>
  <c r="I98" i="6" s="1"/>
  <c r="X137" i="1"/>
  <c r="F181" i="1"/>
  <c r="CA137" i="1"/>
  <c r="AR155" i="1"/>
  <c r="CD137" i="1"/>
  <c r="AU155" i="1"/>
  <c r="AS18" i="1"/>
  <c r="F235" i="1"/>
  <c r="E18" i="2"/>
  <c r="X63" i="1"/>
  <c r="F94" i="1"/>
  <c r="CA63" i="1"/>
  <c r="AR68" i="1"/>
  <c r="CC63" i="1"/>
  <c r="AT68" i="1"/>
  <c r="S22" i="1"/>
  <c r="F200" i="1"/>
  <c r="J16" i="2" s="1"/>
  <c r="J18" i="2" s="1"/>
  <c r="S218" i="1"/>
  <c r="Y22" i="1"/>
  <c r="F212" i="1"/>
  <c r="Y218" i="1"/>
  <c r="X26" i="1"/>
  <c r="F57" i="1"/>
  <c r="X185" i="1"/>
  <c r="CA26" i="1"/>
  <c r="AR31" i="1"/>
  <c r="CC26" i="1"/>
  <c r="AT31" i="1"/>
  <c r="O22" i="1"/>
  <c r="F187" i="1"/>
  <c r="O218" i="1"/>
  <c r="AY22" i="1"/>
  <c r="F193" i="1"/>
  <c r="AY218" i="1"/>
  <c r="AW22" i="1"/>
  <c r="F191" i="1"/>
  <c r="AW218" i="1"/>
  <c r="AV22" i="1"/>
  <c r="F190" i="1"/>
  <c r="AV218" i="1"/>
  <c r="P18" i="1"/>
  <c r="F221" i="1"/>
  <c r="L513" i="6" l="1"/>
  <c r="L514" i="6" s="1"/>
  <c r="L515" i="6" s="1"/>
  <c r="C39" i="6" s="1"/>
  <c r="L504" i="6"/>
  <c r="BU368" i="6"/>
  <c r="BV368" i="6" s="1"/>
  <c r="BR368" i="6"/>
  <c r="I368" i="6"/>
  <c r="AV18" i="1"/>
  <c r="F223" i="1"/>
  <c r="AW18" i="1"/>
  <c r="F224" i="1"/>
  <c r="AY18" i="1"/>
  <c r="F226" i="1"/>
  <c r="O18" i="1"/>
  <c r="F220" i="1"/>
  <c r="AT26" i="1"/>
  <c r="F49" i="1"/>
  <c r="AT185" i="1"/>
  <c r="AR26" i="1"/>
  <c r="F59" i="1"/>
  <c r="AR185" i="1"/>
  <c r="X22" i="1"/>
  <c r="F211" i="1"/>
  <c r="X218" i="1"/>
  <c r="Y18" i="1"/>
  <c r="F245" i="1"/>
  <c r="S18" i="1"/>
  <c r="F233" i="1"/>
  <c r="AT63" i="1"/>
  <c r="F86" i="1"/>
  <c r="AR63" i="1"/>
  <c r="F96" i="1"/>
  <c r="AU137" i="1"/>
  <c r="F174" i="1"/>
  <c r="AU185" i="1"/>
  <c r="AR137" i="1"/>
  <c r="F183" i="1"/>
  <c r="AU22" i="1" l="1"/>
  <c r="F204" i="1"/>
  <c r="AU218" i="1"/>
  <c r="X18" i="1"/>
  <c r="F244" i="1"/>
  <c r="AR22" i="1"/>
  <c r="F213" i="1"/>
  <c r="AR218" i="1"/>
  <c r="F214" i="1"/>
  <c r="F215" i="1" s="1"/>
  <c r="F216" i="1" s="1"/>
  <c r="AT22" i="1"/>
  <c r="F203" i="1"/>
  <c r="AT218" i="1"/>
  <c r="F16" i="2" l="1"/>
  <c r="C43" i="6"/>
  <c r="H16" i="2"/>
  <c r="H18" i="2" s="1"/>
  <c r="C45" i="6"/>
  <c r="AT18" i="1"/>
  <c r="F236" i="1"/>
  <c r="F18" i="2"/>
  <c r="I16" i="2"/>
  <c r="I18" i="2" s="1"/>
  <c r="AR18" i="1"/>
  <c r="F246" i="1"/>
  <c r="AU18" i="1"/>
  <c r="F237" i="1"/>
</calcChain>
</file>

<file path=xl/sharedStrings.xml><?xml version="1.0" encoding="utf-8"?>
<sst xmlns="http://schemas.openxmlformats.org/spreadsheetml/2006/main" count="3888" uniqueCount="451">
  <si>
    <t>Smeta.RU  (495) 974-1589</t>
  </si>
  <si>
    <t>_PS_</t>
  </si>
  <si>
    <t>Smeta.RU</t>
  </si>
  <si>
    <t/>
  </si>
  <si>
    <t>Новый объект</t>
  </si>
  <si>
    <t>ТП</t>
  </si>
  <si>
    <t>Мишкина З.И.</t>
  </si>
  <si>
    <t>Сукочев А.А.</t>
  </si>
  <si>
    <t>Сметные нормы списания</t>
  </si>
  <si>
    <t>Коды ценников</t>
  </si>
  <si>
    <t>ФСНБ-2022_И10</t>
  </si>
  <si>
    <t>Версия 1.9.0 для ФСНБ-2022 И10</t>
  </si>
  <si>
    <t>ФСНБ-2022 - Изменения И10</t>
  </si>
  <si>
    <t>Поправки для ФСНБ-2022 от 17.05.2024 г И10 (55/пр) Строительство</t>
  </si>
  <si>
    <t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t>
  </si>
  <si>
    <t>ГСН</t>
  </si>
  <si>
    <t>Новая локальная смета</t>
  </si>
  <si>
    <t>Реконструкция ТП-1372 по адресу: г.Москва, поселение Щаповское, п.Курилово, (инв. № 43314343)</t>
  </si>
  <si>
    <t>Новый раздел</t>
  </si>
  <si>
    <t>Демонтажные работы</t>
  </si>
  <si>
    <t>1</t>
  </si>
  <si>
    <t>м08-01-084-01</t>
  </si>
  <si>
    <t>Камера сборных распределительных устройств: с масляным выключателем</t>
  </si>
  <si>
    <t>ШТ</t>
  </si>
  <si>
    <t>ГЭСНм-2022, м08-01-084-01, приказ Минстроя России от 18.05.2022 г. № 378/пр</t>
  </si>
  <si>
    <t>Поправка: 571/пр_2022_т.3_п.4  Наименование: Демонтаж: Оборудование, не пригодное для дальнейшего использования, (предназначено в лом) без разборки и резки</t>
  </si>
  <si>
    <t>)*0</t>
  </si>
  <si>
    <t>)*0,3</t>
  </si>
  <si>
    <t>Монтажные работы</t>
  </si>
  <si>
    <t>Электротехнические установки: на других объектах</t>
  </si>
  <si>
    <t>мФЕР-08</t>
  </si>
  <si>
    <t>Поправка: 571/пр_2022_т.3_п.4</t>
  </si>
  <si>
    <t>Пр/812-049.3-1</t>
  </si>
  <si>
    <t>Пр/774-049.3</t>
  </si>
  <si>
    <t>2</t>
  </si>
  <si>
    <t>м08-01-072-01</t>
  </si>
  <si>
    <t>Шина ответвительная - одна полоса в фазе, медная или алюминиевая сечением: до 250 мм2</t>
  </si>
  <si>
    <t>100 м</t>
  </si>
  <si>
    <t>ГЭСНм-2022 доп.6, м08-01-072-01, приказ Минстроя России от 11.05.2023 г. № 335/пр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</si>
  <si>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</si>
  <si>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</si>
  <si>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</si>
  <si>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</si>
  <si>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</si>
  <si>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</si>
  <si>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</si>
  <si>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</si>
  <si>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</si>
  <si>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</si>
  <si>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</si>
  <si>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</si>
  <si>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</si>
  <si>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</si>
  <si>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</si>
  <si>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</si>
  <si>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</si>
  <si>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</si>
  <si>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</si>
  <si>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</si>
  <si>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</si>
  <si>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</si>
  <si>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</si>
  <si>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</si>
  <si>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</si>
  <si>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</si>
  <si>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</si>
  <si>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</si>
  <si>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</si>
  <si>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</si>
  <si>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</si>
  <si>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</si>
  <si>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</si>
  <si>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</si>
  <si>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</si>
  <si>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</si>
  <si>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</si>
  <si>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</si>
  <si>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</si>
  <si>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</si>
  <si>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</si>
  <si>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</si>
  <si>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</si>
  <si>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</si>
  <si>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</si>
  <si>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</si>
  <si>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</si>
  <si>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</si>
  <si>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</si>
  <si>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</si>
  <si>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</si>
  <si>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</si>
  <si>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</si>
  <si>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</si>
  <si>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3</t>
  </si>
  <si>
    <t>Камера сборных распределительных устройств: с ваккумным выключателем</t>
  </si>
  <si>
    <t>4</t>
  </si>
  <si>
    <t>Оборудование</t>
  </si>
  <si>
    <t>5</t>
  </si>
  <si>
    <t>Цена поставщика</t>
  </si>
  <si>
    <t>РУ-10кВ</t>
  </si>
  <si>
    <t>[925 000 / 1,2] +  4,2% Заг.скл</t>
  </si>
  <si>
    <t>0</t>
  </si>
  <si>
    <t>4,2</t>
  </si>
  <si>
    <t>6</t>
  </si>
  <si>
    <t>20.5.03.03-0005</t>
  </si>
  <si>
    <t>Шина электротехническая алюминиевая, марка АДЗ1, ширина 50 мм, толщина 5 мм</t>
  </si>
  <si>
    <t>кг</t>
  </si>
  <si>
    <t>ФСБЦ-2022, 20.5.03.03-0005, приказ Минстроя России от 18.05.2022 г. № 378/пр</t>
  </si>
  <si>
    <t>Материалы монтажные</t>
  </si>
  <si>
    <t>Материалы и конструкции ( монтажные )  по ценникам и каталогам</t>
  </si>
  <si>
    <t>ФССЦм</t>
  </si>
  <si>
    <t>Пусконаладочные работы</t>
  </si>
  <si>
    <t>7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</si>
  <si>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</si>
  <si>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</si>
  <si>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</si>
  <si>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</si>
  <si>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</si>
  <si>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</si>
  <si>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</si>
  <si>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8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</si>
  <si>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</si>
  <si>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</si>
  <si>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ГЭСНп-2022, п01-03-008-05, приказ Минстроя России от 18.05.2022 г. № 378/пр</t>
  </si>
  <si>
    <t>9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</si>
  <si>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</si>
  <si>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</si>
  <si>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</si>
  <si>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10</t>
  </si>
  <si>
    <t>п01-12-020-01</t>
  </si>
  <si>
    <t>Испытание сборных и соединительных шин напряжением: до 11 кВ</t>
  </si>
  <si>
    <t>испытание</t>
  </si>
  <si>
    <t>ГЭСНп-2022, п01-12-020-01, приказ Минстроя России от 18.05.2022 г. № 378/пр</t>
  </si>
  <si>
    <t>11</t>
  </si>
  <si>
    <t>п01-04-012-02</t>
  </si>
  <si>
    <t>Двухфазная токовая отсечка: и МТЗ с независимой выдержкой времени (комплект КЗ-13)</t>
  </si>
  <si>
    <t>КОМПЛ</t>
  </si>
  <si>
    <t>ГЭСНп-2022, п01-04-012-02, приказ Минстроя России от 18.05.2022 г. № 378/пр</t>
  </si>
  <si>
    <t>12</t>
  </si>
  <si>
    <t>п01-04-004-01</t>
  </si>
  <si>
    <t>МТЗ на постоянном и переменном оперативном токе с: одним реле РТ-40, РСТ</t>
  </si>
  <si>
    <t>ГЭСНп-2022, п01-04-004-01, приказ Минстроя России от 18.05.2022 г. № 378/пр</t>
  </si>
  <si>
    <t>13</t>
  </si>
  <si>
    <t>п01-04-004-13</t>
  </si>
  <si>
    <t>МТЗ на постоянном и переменном оперативном токе с: одним реле РНТ, РСТ-15 (РСТ-16)</t>
  </si>
  <si>
    <t>ГЭСНп-2022, п01-04-004-13, приказ Минстроя России от 18.05.2022 г. № 378/пр</t>
  </si>
  <si>
    <t>14</t>
  </si>
  <si>
    <t>п01-04-005-01</t>
  </si>
  <si>
    <t>Устройство пуска МТЗ по напряжению</t>
  </si>
  <si>
    <t>ГЭСНп-2022, п01-04-005-01, приказ Минстроя России от 18.05.2022 г. № 378/пр</t>
  </si>
  <si>
    <t>15</t>
  </si>
  <si>
    <t>п01-04-001-01</t>
  </si>
  <si>
    <t>Максимальная токовая защита прямого действия с: одним реле</t>
  </si>
  <si>
    <t>ГЭСНп-2022, п01-04-001-01, приказ Минстроя России от 18.05.2022 г. № 378/пр</t>
  </si>
  <si>
    <t>16</t>
  </si>
  <si>
    <t>п01-12-027-01</t>
  </si>
  <si>
    <t>Испытание кабеля силового длиной до 500 м напряжением: до 10 кВ</t>
  </si>
  <si>
    <t>ГЭСНп-2022, п01-12-027-01, приказ Минстроя России от 18.05.2022 г. № 378/пр</t>
  </si>
  <si>
    <t>17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</si>
  <si>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</si>
  <si>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</si>
  <si>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</si>
  <si>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18</t>
  </si>
  <si>
    <t>п01-11-010-01</t>
  </si>
  <si>
    <t>Измерение сопротивления растеканию тока: заземлителя</t>
  </si>
  <si>
    <t>измерение</t>
  </si>
  <si>
    <t>ГЭСНп-2022, п01-11-010-01, приказ Минстроя России от 18.05.2022 г. № 378/пр</t>
  </si>
  <si>
    <t>19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</si>
  <si>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</si>
  <si>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</si>
  <si>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</si>
  <si>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20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</si>
  <si>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</si>
  <si>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</si>
  <si>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</si>
  <si>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</si>
  <si>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21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</si>
  <si>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</si>
  <si>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</si>
  <si>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</si>
  <si>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</si>
  <si>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</si>
  <si>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</si>
  <si>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</si>
  <si>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</si>
  <si>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</si>
  <si>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</si>
  <si>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</si>
  <si>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</si>
  <si>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</si>
  <si>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</si>
  <si>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</si>
  <si>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</si>
  <si>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</si>
  <si>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</si>
  <si>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</si>
  <si>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</si>
  <si>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</si>
  <si>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</si>
  <si>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</si>
  <si>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</si>
  <si>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</si>
  <si>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</si>
  <si>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</si>
  <si>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</si>
  <si>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</si>
  <si>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</si>
  <si>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</si>
  <si>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</si>
  <si>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</si>
  <si>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</si>
  <si>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</si>
  <si>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</si>
  <si>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</si>
  <si>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</si>
  <si>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</si>
  <si>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</si>
  <si>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</si>
  <si>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</si>
  <si>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</si>
  <si>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</si>
  <si>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</si>
  <si>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</si>
  <si>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</si>
  <si>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</si>
  <si>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</si>
  <si>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</si>
  <si>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</si>
  <si>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</si>
  <si>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</si>
  <si>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</si>
  <si>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</si>
  <si>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</si>
  <si>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</si>
  <si>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</si>
  <si>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</si>
  <si>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</si>
  <si>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</si>
  <si>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</si>
  <si>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</si>
  <si>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</si>
  <si>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</si>
  <si>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</si>
  <si>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</si>
  <si>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</si>
  <si>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</si>
  <si>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</si>
  <si>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</si>
  <si>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</si>
  <si>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</si>
  <si>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</si>
  <si>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</si>
  <si>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</si>
  <si>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</si>
  <si>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2 квартал 2024 г</t>
  </si>
  <si>
    <t>Сборник индексов</t>
  </si>
  <si>
    <t>Московская область к ФСНБ-2022 ФГИС ЦС</t>
  </si>
  <si>
    <t>Письмо Минстроя России   «О расчете индексов изменения сметной стоимости строительства по группам однородных строительных ресурсов на II квартал 2024 года, 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</si>
  <si>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</si>
  <si>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23.05.2024 г. № 29044-ИФ/09</t>
  </si>
  <si>
    <t>Данные в ФГИС ЦС отсутсвуют</t>
  </si>
  <si>
    <t>_OBSM_</t>
  </si>
  <si>
    <t>1-100-40</t>
  </si>
  <si>
    <t>Затраты труда рабочих (Средний разряд - 4)</t>
  </si>
  <si>
    <t>чел.-ч.</t>
  </si>
  <si>
    <t>4-100-00</t>
  </si>
  <si>
    <t>Затраты труда машинистов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</si>
  <si>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</si>
  <si>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</si>
  <si>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</si>
  <si>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маш.-ч</t>
  </si>
  <si>
    <t>4-100-060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</si>
  <si>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</si>
  <si>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</si>
  <si>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</si>
  <si>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</si>
  <si>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</si>
  <si>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</si>
  <si>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</si>
  <si>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</si>
  <si>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</si>
  <si>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</si>
  <si>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</si>
  <si>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</si>
  <si>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</si>
  <si>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</si>
  <si>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</si>
  <si>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</si>
  <si>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</si>
  <si>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</si>
  <si>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</si>
  <si>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</si>
  <si>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91.21.22-491</t>
  </si>
  <si>
    <t>ФСЭМ-2022, 91.21.22-491, приказ Минстроя России от 18.05.2022 г. № 378/пр</t>
  </si>
  <si>
    <t>Шиногибы гидравлические универсальные</t>
  </si>
  <si>
    <t>01.3.02.02-0001</t>
  </si>
  <si>
    <t>ФСБЦ-2022 доп.3, 01.3.02.02-0001, приказ Минстроя России от 26.10.2022 г. № 905/пр</t>
  </si>
  <si>
    <t>Аргон газообразный, сорт I</t>
  </si>
  <si>
    <t>м3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</si>
  <si>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</si>
  <si>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</si>
  <si>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</si>
  <si>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10.1.02.04-0009</t>
  </si>
  <si>
    <t>ФСБЦ-2022 доп.6, 10.1.02.04-0009, приказ Минстроя России от 11.05.2023 г. № 335/пр</t>
  </si>
  <si>
    <t>Прутки круглого сечения из алюминиевых сплавов марок АД0, АД1, АД, АД31, АД33, АД35, АВ, диаметр 135,0-200,0 мм</t>
  </si>
  <si>
    <t>10.2.02.10-0013</t>
  </si>
  <si>
    <t>ФСБЦ-2022, 10.2.02.10-0013, приказ Минстроя России от 18.05.2022 г. № 378/пр</t>
  </si>
  <si>
    <t>Прутки круглые из меди марки М3, диаметр 10-30 мм</t>
  </si>
  <si>
    <t>ФСБЦ-2022 доп.9, 10.1.02.04-0009, приказ Минстроя России от 16.02.2024 г. № 102/пр</t>
  </si>
  <si>
    <t>2-100-06</t>
  </si>
  <si>
    <t>Рабочий 6 разряда</t>
  </si>
  <si>
    <t>чел.-ч</t>
  </si>
  <si>
    <t>3-200-03</t>
  </si>
  <si>
    <t>Инженер III категории</t>
  </si>
  <si>
    <t>2-100-04</t>
  </si>
  <si>
    <t>Рабочий 4 разряда</t>
  </si>
  <si>
    <t>3-100-02</t>
  </si>
  <si>
    <t>Техник II категории</t>
  </si>
  <si>
    <t>3-200-02</t>
  </si>
  <si>
    <t>Инженер II категории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</si>
  <si>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</si>
  <si>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</si>
  <si>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</si>
  <si>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</si>
  <si>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</si>
  <si>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</si>
  <si>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</si>
  <si>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</si>
  <si>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</si>
  <si>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</si>
  <si>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</si>
  <si>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</si>
  <si>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</si>
  <si>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</si>
  <si>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</si>
  <si>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</si>
  <si>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</si>
  <si>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</si>
  <si>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</si>
  <si>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</si>
  <si>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</si>
  <si>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</si>
  <si>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</si>
  <si>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</si>
  <si>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</si>
  <si>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</si>
  <si>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</si>
  <si>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</si>
  <si>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</si>
  <si>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</si>
  <si>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</si>
  <si>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</si>
  <si>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</si>
  <si>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</si>
  <si>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</si>
  <si>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</si>
  <si>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</si>
  <si>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</si>
  <si>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</si>
  <si>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</si>
  <si>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</si>
  <si>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июнь 2024 года</t>
  </si>
  <si>
    <t>Раздел: Демонтажные работы</t>
  </si>
  <si>
    <t>ГЭСНм 08-01-084-01</t>
  </si>
  <si>
    <r>
      <t>Камера сборных распределительных устройств: с масляным выключателем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</si>
  <si>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</si>
  <si>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</si>
  <si>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</si>
  <si>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</si>
  <si>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</si>
  <si>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</si>
  <si>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</si>
  <si>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</si>
  <si>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Электротехнические установки: на других объектах</t>
  </si>
  <si>
    <t>СП Электротехнические установки: на других объектах</t>
  </si>
  <si>
    <t>Всего по позиции</t>
  </si>
  <si>
    <t>=</t>
  </si>
  <si>
    <t>ГЭСНм 08-01-072-01</t>
  </si>
  <si>
    <r>
      <t>Шина ответвительная - одна полоса в фазе, медная или алюминиевая сечением: до 250 мм2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</si>
  <si>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</si>
  <si>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</si>
  <si>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</si>
  <si>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</si>
  <si>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</si>
  <si>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</si>
  <si>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</si>
  <si>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</si>
  <si>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</si>
  <si>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</si>
  <si>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</si>
  <si>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</si>
  <si>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</si>
  <si>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</si>
  <si>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</si>
  <si>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</si>
  <si>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</si>
  <si>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</si>
  <si>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</si>
  <si>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</si>
  <si>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</si>
  <si>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</si>
  <si>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</si>
  <si>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</si>
  <si>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</si>
  <si>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</si>
  <si>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Монтажные работы</t>
  </si>
  <si>
    <t>Раздел: Оборудование</t>
  </si>
  <si>
    <r>
      <t>РУ-10кВ</t>
    </r>
    <r>
      <rPr>
        <i/>
        <sz val="11"/>
        <rFont val="Arial"/>
        <family val="2"/>
        <charset val="204"/>
      </rPr>
      <t xml:space="preserve">
803 208,33 = [925 000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</si>
  <si>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</si>
  <si>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</si>
  <si>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</si>
  <si>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</si>
  <si>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01-03-008-05</t>
  </si>
  <si>
    <t>ГЭСНп 01-03-005-01</t>
  </si>
  <si>
    <t>ГЭСНп 01-12-020-01</t>
  </si>
  <si>
    <t>ГЭСНп 01-04-012-02</t>
  </si>
  <si>
    <t>ГЭСНп 01-04-004-01</t>
  </si>
  <si>
    <t>ГЭСНп 01-04-004-13</t>
  </si>
  <si>
    <t>ГЭСНп 01-04-005-01</t>
  </si>
  <si>
    <t>ГЭСНп 01-04-001-01</t>
  </si>
  <si>
    <t>ГЭСНп 01-12-027-01</t>
  </si>
  <si>
    <t>ГЭСНп 01-11-028-01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</si>
  <si>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</si>
  <si>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</si>
  <si>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</si>
  <si>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</si>
  <si>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</si>
  <si>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</si>
  <si>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</si>
  <si>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</si>
  <si>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</si>
  <si>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</si>
  <si>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</si>
  <si>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</si>
  <si>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</si>
  <si>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</si>
  <si>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</si>
  <si>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</si>
  <si>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</si>
  <si>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</si>
  <si>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</si>
  <si>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</si>
  <si>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</si>
  <si>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</si>
  <si>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</si>
  <si>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</si>
  <si>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</si>
  <si>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</si>
  <si>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</si>
  <si>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___________________2024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</si>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</sst>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0" fontId="24" fillId="0" borderId="0" xfId="0" applyFont="1" applyAlignment="1">
      <alignment vertical="top" wrapText="1"/>
    </xf>
    <xf numFmtId="166" fontId="22" fillId="0" borderId="0" xfId="0" applyNumberFormat="1" applyFont="1" applyAlignment="1">
      <alignment horizontal="right" vertical="top"/>
    </xf>
    <xf numFmtId="165" fontId="25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right" vertical="top" wrapText="1"/>
    </xf>
    <xf numFmtId="0" fontId="22" fillId="0" borderId="1" xfId="0" applyFont="1" applyBorder="1" applyAlignment="1">
      <alignment horizontal="right" vertical="top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5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165" fontId="25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5" fillId="0" borderId="0" xfId="0" applyFont="1" applyAlignment="1">
      <alignment horizontal="right" vertical="top"/>
    </xf>
    <xf numFmtId="0" fontId="22" fillId="0" borderId="1" xfId="0" quotePrefix="1" applyFont="1" applyBorder="1" applyAlignment="1">
      <alignment horizontal="left" vertical="top" wrapText="1"/>
    </xf>
    <xf numFmtId="0" fontId="25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right" vertical="top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7" fillId="0" borderId="0" xfId="1" applyFont="1" applyAlignment="1">
      <alignment horizontal="left" wrapText="1"/>
    </xf>
    <xf numFmtId="165" fontId="27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4" fontId="27" fillId="0" borderId="0" xfId="1" applyNumberFormat="1" applyFont="1" applyAlignment="1">
      <alignment horizontal="left" wrapText="1"/>
    </xf>
    <xf numFmtId="9" fontId="27" fillId="0" borderId="0" xfId="1" applyNumberFormat="1" applyFont="1" applyAlignment="1">
      <alignment horizontal="left" wrapText="1"/>
    </xf>
    <xf numFmtId="167" fontId="27" fillId="0" borderId="0" xfId="0" applyNumberFormat="1" applyFont="1" applyAlignment="1">
      <alignment vertical="top"/>
    </xf>
    <xf numFmtId="165" fontId="27" fillId="0" borderId="0" xfId="0" applyNumberFormat="1" applyFont="1" applyAlignment="1">
      <alignment horizontal="right"/>
    </xf>
    <xf numFmtId="167" fontId="0" fillId="0" borderId="0" xfId="0" applyNumberFormat="1"/>
    <xf numFmtId="0" fontId="22" fillId="0" borderId="0" xfId="0" applyFont="1" applyAlignment="1">
      <alignment horizontal="right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7" fillId="0" borderId="0" xfId="1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27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2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21" fillId="0" borderId="0" xfId="0" applyFont="1" applyAlignment="1">
      <alignment horizontal="left" vertical="top" wrapText="1"/>
    </xf>
    <xf numFmtId="165" fontId="25" fillId="0" borderId="0" xfId="0" applyNumberFormat="1" applyFont="1" applyAlignment="1">
      <alignment horizontal="left" vertical="top"/>
    </xf>
    <xf numFmtId="165" fontId="25" fillId="0" borderId="2" xfId="0" applyNumberFormat="1" applyFont="1" applyBorder="1" applyAlignment="1">
      <alignment horizontal="right" vertical="top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5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6" fillId="0" borderId="2" xfId="0" applyFont="1" applyBorder="1" applyAlignment="1">
      <alignment horizontal="center"/>
    </xf>
  </cellXfs>
  <cellStyles count="3">
    <cellStyle name="Обычный" xfId="0" builtinId="0"/>
    <cellStyle name="Обычный 2 2" xfId="2" xr:uid="{AB185B4A-BE9A-4FD9-9ED8-F7B0166D985A}"/>
    <cellStyle name="Обычный 2 28" xfId="1" xr:uid="{7C267D30-9FB9-4192-AEAB-B9D503C4CD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BF9B-C152-4077-89FC-1E65102BA411}">
  <sheetPr>
    <pageSetUpPr fitToPage="1"/>
  </sheetPr>
  <dimension ref="A1:CO522"/>
  <sheetViews>
    <sheetView tabSelected="1" topLeftCell="A480" zoomScaleNormal="100" workbookViewId="0">
      <selection activeCell="L482" sqref="L482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2" width="0" hidden="1" customWidth="1"/>
    <col min="93" max="93" width="108.7109375" hidden="1" customWidth="1"/>
    <col min="94" max="100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82" t="s">
        <v>321</v>
      </c>
      <c r="B2" s="82"/>
      <c r="C2" s="82"/>
      <c r="D2" s="82"/>
      <c r="E2" s="82"/>
      <c r="F2" s="83" t="s">
        <v>358</v>
      </c>
      <c r="G2" s="83"/>
      <c r="H2" s="83"/>
      <c r="I2" s="83"/>
      <c r="J2" s="83"/>
      <c r="K2" s="83"/>
      <c r="L2" s="83"/>
    </row>
    <row r="3" spans="1:93" ht="12.75" customHeight="1" x14ac:dyDescent="0.2">
      <c r="A3" s="13"/>
      <c r="B3" s="13"/>
      <c r="C3" s="13"/>
      <c r="D3" s="13"/>
      <c r="E3" s="13"/>
      <c r="F3" s="14"/>
      <c r="G3" s="14"/>
      <c r="H3" s="14"/>
      <c r="I3" s="14"/>
      <c r="J3" s="14"/>
      <c r="K3" s="14"/>
      <c r="L3" s="14"/>
    </row>
    <row r="4" spans="1:93" ht="25.5" x14ac:dyDescent="0.2">
      <c r="A4" s="82" t="s">
        <v>322</v>
      </c>
      <c r="B4" s="82"/>
      <c r="C4" s="82"/>
      <c r="D4" s="82"/>
      <c r="E4" s="82"/>
      <c r="F4" s="83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  <c r="G4" s="83"/>
      <c r="H4" s="83"/>
      <c r="I4" s="83"/>
      <c r="J4" s="83"/>
      <c r="K4" s="83"/>
      <c r="L4" s="83"/>
      <c r="CO4" s="11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</row>
    <row r="5" spans="1:93" ht="12.75" customHeight="1" x14ac:dyDescent="0.2">
      <c r="A5" s="13"/>
      <c r="B5" s="13"/>
      <c r="C5" s="13"/>
      <c r="D5" s="13"/>
      <c r="E5" s="13"/>
      <c r="F5" s="14"/>
      <c r="G5" s="14"/>
      <c r="H5" s="14"/>
      <c r="I5" s="14"/>
      <c r="J5" s="14"/>
      <c r="K5" s="14"/>
      <c r="L5" s="14"/>
    </row>
    <row r="6" spans="1:93" ht="89.25" x14ac:dyDescent="0.2">
      <c r="A6" s="82" t="s">
        <v>323</v>
      </c>
      <c r="B6" s="82"/>
      <c r="C6" s="82"/>
      <c r="D6" s="82"/>
      <c r="E6" s="82"/>
      <c r="F6" s="83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  <c r="G6" s="83"/>
      <c r="H6" s="83"/>
      <c r="I6" s="83"/>
      <c r="J6" s="83"/>
      <c r="K6" s="83"/>
      <c r="L6" s="83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</row>
    <row r="7" spans="1:93" ht="12.75" customHeight="1" x14ac:dyDescent="0.2">
      <c r="A7" s="13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82" t="s">
        <v>324</v>
      </c>
      <c r="B8" s="82"/>
      <c r="C8" s="82"/>
      <c r="D8" s="82"/>
      <c r="E8" s="82"/>
      <c r="F8" s="83" t="s">
        <v>259</v>
      </c>
      <c r="G8" s="83"/>
      <c r="H8" s="83"/>
      <c r="I8" s="83"/>
      <c r="J8" s="83"/>
      <c r="K8" s="83"/>
      <c r="L8" s="83"/>
    </row>
    <row r="9" spans="1:93" ht="12.75" customHeight="1" x14ac:dyDescent="0.2">
      <c r="A9" s="13"/>
      <c r="B9" s="13"/>
      <c r="C9" s="13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82" t="s">
        <v>325</v>
      </c>
      <c r="B10" s="82"/>
      <c r="C10" s="82"/>
      <c r="D10" s="82"/>
      <c r="E10" s="82"/>
      <c r="F10" s="83" t="s">
        <v>260</v>
      </c>
      <c r="G10" s="83"/>
      <c r="H10" s="83"/>
      <c r="I10" s="83"/>
      <c r="J10" s="83"/>
      <c r="K10" s="83"/>
      <c r="L10" s="83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82" t="s">
        <v>326</v>
      </c>
      <c r="B12" s="82"/>
      <c r="C12" s="82"/>
      <c r="D12" s="82"/>
      <c r="E12" s="82"/>
      <c r="F12" s="83" t="s">
        <v>359</v>
      </c>
      <c r="G12" s="83"/>
      <c r="H12" s="83"/>
      <c r="I12" s="83"/>
      <c r="J12" s="83"/>
      <c r="K12" s="83"/>
      <c r="L12" s="83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82" t="s">
        <v>327</v>
      </c>
      <c r="B14" s="82"/>
      <c r="C14" s="82"/>
      <c r="D14" s="82"/>
      <c r="E14" s="82"/>
      <c r="F14" s="83" t="str">
        <f>IF(Source!CZ12 &lt;&gt; "", Source!CZ12, "")</f>
        <v/>
      </c>
      <c r="G14" s="83"/>
      <c r="H14" s="83"/>
      <c r="I14" s="83"/>
      <c r="J14" s="83"/>
      <c r="K14" s="83"/>
      <c r="L14" s="83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82" t="s">
        <v>328</v>
      </c>
      <c r="B16" s="82"/>
      <c r="C16" s="82"/>
      <c r="D16" s="82"/>
      <c r="E16" s="82"/>
      <c r="F16" s="83" t="str">
        <f>IF(Source!DA12 &lt;&gt; "", Source!DA12, "")</f>
        <v/>
      </c>
      <c r="G16" s="83"/>
      <c r="H16" s="83"/>
      <c r="I16" s="83"/>
      <c r="J16" s="83"/>
      <c r="K16" s="83"/>
      <c r="L16" s="83"/>
    </row>
    <row r="17" spans="1:12" ht="12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5.75" x14ac:dyDescent="0.25">
      <c r="A18" s="78"/>
      <c r="B18" s="86" t="s">
        <v>446</v>
      </c>
      <c r="C18" s="86"/>
      <c r="D18" s="79"/>
      <c r="E18" s="80"/>
      <c r="F18" s="80"/>
      <c r="G18" s="17"/>
      <c r="H18" s="17"/>
      <c r="I18" s="17"/>
      <c r="J18" s="17"/>
      <c r="K18" s="17"/>
      <c r="L18" s="17"/>
    </row>
    <row r="19" spans="1:12" ht="15.75" x14ac:dyDescent="0.25">
      <c r="A19" s="78"/>
      <c r="B19" s="79"/>
      <c r="C19" s="79"/>
      <c r="D19" s="79"/>
      <c r="E19" s="80"/>
      <c r="F19" s="80"/>
      <c r="G19" s="17"/>
      <c r="H19" s="17"/>
      <c r="I19" s="17"/>
      <c r="J19" s="17"/>
      <c r="K19" s="17"/>
      <c r="L19" s="17"/>
    </row>
    <row r="20" spans="1:12" ht="15.75" x14ac:dyDescent="0.25">
      <c r="A20" s="78"/>
      <c r="B20" s="86" t="s">
        <v>447</v>
      </c>
      <c r="C20" s="86"/>
      <c r="D20" s="86"/>
      <c r="E20" s="86"/>
      <c r="F20" s="86"/>
      <c r="G20" s="17"/>
      <c r="H20" s="17"/>
      <c r="I20" s="17"/>
      <c r="J20" s="17"/>
      <c r="K20" s="17"/>
      <c r="L20" s="17"/>
    </row>
    <row r="21" spans="1:12" ht="15.75" x14ac:dyDescent="0.25">
      <c r="A21" s="78"/>
      <c r="B21" s="79"/>
      <c r="C21" s="79"/>
      <c r="D21" s="79"/>
      <c r="E21" s="80"/>
      <c r="F21" s="80"/>
      <c r="G21" s="17"/>
      <c r="H21" s="17"/>
      <c r="I21" s="17"/>
      <c r="J21" s="17"/>
      <c r="K21" s="17"/>
      <c r="L21" s="17"/>
    </row>
    <row r="22" spans="1:12" ht="15.75" x14ac:dyDescent="0.25">
      <c r="A22" s="78"/>
      <c r="B22" s="86" t="s">
        <v>448</v>
      </c>
      <c r="C22" s="86"/>
      <c r="D22" s="86"/>
      <c r="E22" s="86"/>
      <c r="F22" s="80"/>
      <c r="G22" s="17"/>
      <c r="H22" s="17"/>
      <c r="I22" s="17"/>
      <c r="J22" s="17"/>
      <c r="K22" s="17"/>
      <c r="L22" s="17"/>
    </row>
    <row r="23" spans="1:12" ht="15.75" x14ac:dyDescent="0.25">
      <c r="A23" s="78"/>
      <c r="B23" s="79"/>
      <c r="C23" s="79"/>
      <c r="D23" s="79"/>
      <c r="E23" s="80"/>
      <c r="F23" s="80"/>
      <c r="G23" s="17"/>
      <c r="H23" s="17"/>
      <c r="I23" s="17"/>
      <c r="J23" s="17"/>
      <c r="K23" s="17"/>
      <c r="L23" s="17"/>
    </row>
    <row r="24" spans="1:12" ht="15.75" x14ac:dyDescent="0.25">
      <c r="A24" s="78"/>
      <c r="B24" s="86" t="s">
        <v>449</v>
      </c>
      <c r="C24" s="86"/>
      <c r="D24" s="79"/>
      <c r="E24" s="79"/>
      <c r="F24" s="80"/>
      <c r="G24" s="17"/>
      <c r="H24" s="17"/>
      <c r="I24" s="17"/>
      <c r="J24" s="17"/>
      <c r="K24" s="17"/>
      <c r="L24" s="17"/>
    </row>
    <row r="25" spans="1:12" ht="14.25" x14ac:dyDescent="0.2">
      <c r="A25" s="18"/>
      <c r="B25" s="18"/>
      <c r="C25" s="81"/>
      <c r="D25" s="18"/>
      <c r="E25" s="18"/>
      <c r="F25" s="19"/>
      <c r="G25" s="19"/>
      <c r="H25" s="19"/>
      <c r="I25" s="19"/>
      <c r="J25" s="19"/>
      <c r="K25" s="19"/>
      <c r="L25" s="19"/>
    </row>
    <row r="26" spans="1:12" ht="15.75" x14ac:dyDescent="0.25">
      <c r="A26" s="87" t="s">
        <v>450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</row>
    <row r="27" spans="1:12" ht="15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0"/>
    </row>
    <row r="28" spans="1:12" ht="18" customHeight="1" x14ac:dyDescent="0.25">
      <c r="A28" s="91" t="str">
        <f>IF(Source!G20&lt;&gt;"Новая локальная смета", Source!G20, "")</f>
        <v>Реконструкция ТП-1372 по адресу: г.Москва, поселение Щаповское, п.Курилово, (инв. № 43314343)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</row>
    <row r="29" spans="1:12" ht="14.25" customHeight="1" x14ac:dyDescent="0.2">
      <c r="A29" s="88" t="s">
        <v>329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</row>
    <row r="30" spans="1:12" ht="14.2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ht="14.2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 ht="12.75" customHeight="1" x14ac:dyDescent="0.2">
      <c r="A32" s="12" t="s">
        <v>330</v>
      </c>
      <c r="B32" s="12"/>
      <c r="C32" s="23" t="s">
        <v>360</v>
      </c>
      <c r="D32" s="12" t="s">
        <v>331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24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332</v>
      </c>
      <c r="B34" s="12"/>
      <c r="C34" s="92"/>
      <c r="D34" s="92"/>
      <c r="E34" s="92"/>
      <c r="F34" s="92"/>
      <c r="G34" s="92"/>
      <c r="H34" s="92"/>
      <c r="I34" s="92"/>
      <c r="J34" s="92"/>
      <c r="K34" s="92"/>
      <c r="L34" s="92"/>
    </row>
    <row r="35" spans="1:12" ht="12.75" customHeight="1" x14ac:dyDescent="0.2">
      <c r="A35" s="25"/>
      <c r="B35" s="26"/>
      <c r="C35" s="88" t="s">
        <v>333</v>
      </c>
      <c r="D35" s="88"/>
      <c r="E35" s="88"/>
      <c r="F35" s="88"/>
      <c r="G35" s="88"/>
      <c r="H35" s="88"/>
      <c r="I35" s="88"/>
      <c r="J35" s="88"/>
      <c r="K35" s="88"/>
      <c r="L35" s="88"/>
    </row>
    <row r="36" spans="1:12" ht="14.2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 ht="14.25" customHeight="1" x14ac:dyDescent="0.2">
      <c r="A37" s="27" t="s">
        <v>361</v>
      </c>
      <c r="B37" s="18"/>
      <c r="C37" s="18"/>
      <c r="D37" s="28"/>
      <c r="E37" s="18"/>
      <c r="F37" s="18"/>
      <c r="G37" s="18"/>
      <c r="H37" s="18"/>
      <c r="I37" s="18"/>
      <c r="J37" s="18"/>
      <c r="K37" s="18"/>
      <c r="L37" s="18"/>
    </row>
    <row r="38" spans="1:12" ht="14.2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ht="14.25" customHeight="1" x14ac:dyDescent="0.2">
      <c r="A39" s="27" t="s">
        <v>334</v>
      </c>
      <c r="B39" s="18"/>
      <c r="C39" s="89">
        <f>L515/1000</f>
        <v>2343.6453839999995</v>
      </c>
      <c r="D39" s="90"/>
      <c r="E39" s="12" t="s">
        <v>335</v>
      </c>
      <c r="F39" s="17"/>
      <c r="G39" s="17"/>
      <c r="H39" s="17"/>
      <c r="I39" s="17"/>
      <c r="J39" s="17"/>
      <c r="K39" s="17"/>
      <c r="L39" s="18"/>
    </row>
    <row r="40" spans="1:12" ht="14.25" customHeight="1" x14ac:dyDescent="0.2">
      <c r="A40" s="27"/>
      <c r="B40" s="18"/>
      <c r="C40" s="66"/>
      <c r="D40" s="29"/>
      <c r="E40" s="12"/>
      <c r="F40" s="17"/>
      <c r="G40" s="12" t="s">
        <v>336</v>
      </c>
      <c r="H40" s="18"/>
      <c r="I40" s="12"/>
      <c r="J40" s="12"/>
      <c r="K40" s="68">
        <f>ROUND(SUM(AR53:AR512)/1000, 2)</f>
        <v>145.84</v>
      </c>
      <c r="L40" s="12" t="s">
        <v>335</v>
      </c>
    </row>
    <row r="41" spans="1:12" ht="14.25" customHeight="1" x14ac:dyDescent="0.2">
      <c r="A41" s="18"/>
      <c r="B41" s="30" t="s">
        <v>337</v>
      </c>
      <c r="C41" s="67"/>
      <c r="D41" s="18"/>
      <c r="E41" s="12"/>
      <c r="F41" s="17"/>
      <c r="G41" s="12" t="s">
        <v>338</v>
      </c>
      <c r="H41" s="18"/>
      <c r="I41" s="12"/>
      <c r="J41" s="12"/>
      <c r="K41" s="68">
        <f>ROUND(SUM(AT53:AT512)/1000, 2)</f>
        <v>2.83</v>
      </c>
      <c r="L41" s="12" t="s">
        <v>335</v>
      </c>
    </row>
    <row r="42" spans="1:12" ht="14.25" customHeight="1" x14ac:dyDescent="0.2">
      <c r="A42" s="18"/>
      <c r="B42" s="27" t="s">
        <v>339</v>
      </c>
      <c r="C42" s="89">
        <f>ROUND((Source!F202)/1000, 2)</f>
        <v>1606.42</v>
      </c>
      <c r="D42" s="90"/>
      <c r="E42" s="12" t="s">
        <v>335</v>
      </c>
      <c r="F42" s="17"/>
      <c r="G42" s="12" t="s">
        <v>340</v>
      </c>
      <c r="H42" s="18"/>
      <c r="I42" s="12"/>
      <c r="J42" s="29"/>
      <c r="K42" s="68">
        <f>Source!F207</f>
        <v>277.49040000000002</v>
      </c>
      <c r="L42" s="12" t="s">
        <v>264</v>
      </c>
    </row>
    <row r="43" spans="1:12" ht="14.25" customHeight="1" x14ac:dyDescent="0.2">
      <c r="A43" s="18"/>
      <c r="B43" s="27" t="s">
        <v>341</v>
      </c>
      <c r="C43" s="89">
        <f>ROUND((Source!F203)/1000, 2)</f>
        <v>81.05</v>
      </c>
      <c r="D43" s="90"/>
      <c r="E43" s="12" t="s">
        <v>335</v>
      </c>
      <c r="F43" s="17"/>
      <c r="G43" s="12" t="s">
        <v>342</v>
      </c>
      <c r="H43" s="18"/>
      <c r="I43" s="12"/>
      <c r="J43" s="31"/>
      <c r="K43" s="68">
        <f>Source!F208</f>
        <v>5.5949920000000004</v>
      </c>
      <c r="L43" s="12" t="s">
        <v>264</v>
      </c>
    </row>
    <row r="44" spans="1:12" ht="14.25" customHeight="1" x14ac:dyDescent="0.2">
      <c r="A44" s="18"/>
      <c r="B44" s="27" t="s">
        <v>343</v>
      </c>
      <c r="C44" s="89">
        <f>ROUND((Source!F194)/1000, 2)</f>
        <v>0</v>
      </c>
      <c r="D44" s="90"/>
      <c r="E44" s="12" t="s">
        <v>335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8"/>
      <c r="B45" s="27" t="s">
        <v>344</v>
      </c>
      <c r="C45" s="89">
        <f>ROUND((Source!F204)/1000, 2)</f>
        <v>249.44</v>
      </c>
      <c r="D45" s="90"/>
      <c r="E45" s="12" t="s">
        <v>335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 ht="12.75" customHeight="1" x14ac:dyDescent="0.2">
      <c r="A47" s="96" t="s">
        <v>345</v>
      </c>
      <c r="B47" s="96" t="s">
        <v>346</v>
      </c>
      <c r="C47" s="96" t="s">
        <v>347</v>
      </c>
      <c r="D47" s="96" t="s">
        <v>348</v>
      </c>
      <c r="E47" s="99" t="s">
        <v>349</v>
      </c>
      <c r="F47" s="100"/>
      <c r="G47" s="101"/>
      <c r="H47" s="99" t="s">
        <v>350</v>
      </c>
      <c r="I47" s="100"/>
      <c r="J47" s="100"/>
      <c r="K47" s="100"/>
      <c r="L47" s="101"/>
    </row>
    <row r="48" spans="1:12" ht="12.75" customHeight="1" x14ac:dyDescent="0.2">
      <c r="A48" s="97"/>
      <c r="B48" s="97"/>
      <c r="C48" s="97"/>
      <c r="D48" s="97"/>
      <c r="E48" s="102"/>
      <c r="F48" s="103"/>
      <c r="G48" s="104"/>
      <c r="H48" s="108"/>
      <c r="I48" s="103"/>
      <c r="J48" s="103"/>
      <c r="K48" s="103"/>
      <c r="L48" s="104"/>
    </row>
    <row r="49" spans="1:83" ht="12.75" customHeight="1" x14ac:dyDescent="0.2">
      <c r="A49" s="97"/>
      <c r="B49" s="97"/>
      <c r="C49" s="97"/>
      <c r="D49" s="97"/>
      <c r="E49" s="102"/>
      <c r="F49" s="103"/>
      <c r="G49" s="104"/>
      <c r="H49" s="108"/>
      <c r="I49" s="103"/>
      <c r="J49" s="103"/>
      <c r="K49" s="103"/>
      <c r="L49" s="104"/>
    </row>
    <row r="50" spans="1:83" ht="12.75" customHeight="1" x14ac:dyDescent="0.2">
      <c r="A50" s="97"/>
      <c r="B50" s="97"/>
      <c r="C50" s="97"/>
      <c r="D50" s="97"/>
      <c r="E50" s="105"/>
      <c r="F50" s="106"/>
      <c r="G50" s="107"/>
      <c r="H50" s="109"/>
      <c r="I50" s="106"/>
      <c r="J50" s="106"/>
      <c r="K50" s="106"/>
      <c r="L50" s="107"/>
    </row>
    <row r="51" spans="1:83" ht="51" customHeight="1" x14ac:dyDescent="0.2">
      <c r="A51" s="98"/>
      <c r="B51" s="98"/>
      <c r="C51" s="98"/>
      <c r="D51" s="98"/>
      <c r="E51" s="33" t="s">
        <v>351</v>
      </c>
      <c r="F51" s="33" t="s">
        <v>352</v>
      </c>
      <c r="G51" s="34" t="s">
        <v>353</v>
      </c>
      <c r="H51" s="33" t="s">
        <v>354</v>
      </c>
      <c r="I51" s="33" t="s">
        <v>355</v>
      </c>
      <c r="J51" s="33" t="s">
        <v>356</v>
      </c>
      <c r="K51" s="33" t="s">
        <v>352</v>
      </c>
      <c r="L51" s="33" t="s">
        <v>357</v>
      </c>
    </row>
    <row r="52" spans="1:83" ht="14.25" customHeight="1" x14ac:dyDescent="0.2">
      <c r="A52" s="35">
        <v>1</v>
      </c>
      <c r="B52" s="35">
        <v>2</v>
      </c>
      <c r="C52" s="35">
        <v>3</v>
      </c>
      <c r="D52" s="35">
        <v>4</v>
      </c>
      <c r="E52" s="35">
        <v>5</v>
      </c>
      <c r="F52" s="35">
        <v>6</v>
      </c>
      <c r="G52" s="35">
        <v>7</v>
      </c>
      <c r="H52" s="35">
        <v>8</v>
      </c>
      <c r="I52" s="35">
        <v>9</v>
      </c>
      <c r="J52" s="35">
        <v>10</v>
      </c>
      <c r="K52" s="37">
        <v>11</v>
      </c>
      <c r="L52" s="37">
        <v>12</v>
      </c>
    </row>
    <row r="54" spans="1:83" ht="16.5" x14ac:dyDescent="0.2">
      <c r="A54" s="93" t="s">
        <v>362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</row>
    <row r="55" spans="1:83" ht="92.25" x14ac:dyDescent="0.2">
      <c r="A55" s="38" t="s">
        <v>20</v>
      </c>
      <c r="B55" s="40" t="s">
        <v>363</v>
      </c>
      <c r="C55" s="40" t="s">
        <v>364</v>
      </c>
      <c r="D55" s="41" t="str">
        <f>Source!H28</f>
        <v>ШТ</v>
      </c>
      <c r="E55" s="42">
        <f>Source!K28</f>
        <v>2</v>
      </c>
      <c r="F55" s="42"/>
      <c r="G55" s="42">
        <f>Source!I28</f>
        <v>2</v>
      </c>
      <c r="H55" s="44"/>
      <c r="I55" s="43"/>
      <c r="J55" s="44"/>
      <c r="K55" s="43"/>
      <c r="L55" s="44"/>
    </row>
    <row r="56" spans="1:83" ht="25.5" x14ac:dyDescent="0.2">
      <c r="B56" s="45" t="str">
        <f>Source!EO28</f>
        <v>Поправка: 571/пр_2022_т.3_п.4</v>
      </c>
    </row>
    <row r="57" spans="1:83" ht="15" x14ac:dyDescent="0.2">
      <c r="A57" s="39"/>
      <c r="B57" s="42">
        <v>1</v>
      </c>
      <c r="C57" s="39" t="s">
        <v>365</v>
      </c>
      <c r="D57" s="41" t="s">
        <v>264</v>
      </c>
      <c r="E57" s="46"/>
      <c r="F57" s="42"/>
      <c r="G57" s="46">
        <f>Source!U28</f>
        <v>13.62</v>
      </c>
      <c r="H57" s="42"/>
      <c r="I57" s="42"/>
      <c r="J57" s="42"/>
      <c r="K57" s="42"/>
      <c r="L57" s="47">
        <f>SUM(L58:L58)-SUMIF(CE58:CE58, 1, L58:L58)</f>
        <v>5928.38</v>
      </c>
    </row>
    <row r="58" spans="1:83" ht="28.5" x14ac:dyDescent="0.2">
      <c r="A58" s="40"/>
      <c r="B58" s="40" t="s">
        <v>262</v>
      </c>
      <c r="C58" s="40" t="s">
        <v>263</v>
      </c>
      <c r="D58" s="41" t="s">
        <v>264</v>
      </c>
      <c r="E58" s="42">
        <v>22.7</v>
      </c>
      <c r="F58" s="42">
        <f>ROUND(0.3,7)</f>
        <v>0.3</v>
      </c>
      <c r="G58" s="42">
        <f>SmtRes!CX1</f>
        <v>13.62</v>
      </c>
      <c r="H58" s="44"/>
      <c r="I58" s="43"/>
      <c r="J58" s="44">
        <f>SmtRes!CZ1</f>
        <v>435.27</v>
      </c>
      <c r="K58" s="43"/>
      <c r="L58" s="44">
        <f>SmtRes!DI1</f>
        <v>5928.38</v>
      </c>
    </row>
    <row r="59" spans="1:83" ht="15" x14ac:dyDescent="0.2">
      <c r="A59" s="39"/>
      <c r="B59" s="42">
        <v>2</v>
      </c>
      <c r="C59" s="39" t="s">
        <v>366</v>
      </c>
      <c r="D59" s="41"/>
      <c r="E59" s="46"/>
      <c r="F59" s="42"/>
      <c r="G59" s="46"/>
      <c r="H59" s="42"/>
      <c r="I59" s="42"/>
      <c r="J59" s="42"/>
      <c r="K59" s="42"/>
      <c r="L59" s="47">
        <f>SUM(L60:L64)-SUMIF(CE60:CE64, 1, L60:L64)</f>
        <v>1217.1199999999999</v>
      </c>
    </row>
    <row r="60" spans="1:83" ht="15" x14ac:dyDescent="0.2">
      <c r="A60" s="39"/>
      <c r="B60" s="42"/>
      <c r="C60" s="39" t="s">
        <v>369</v>
      </c>
      <c r="D60" s="41" t="s">
        <v>264</v>
      </c>
      <c r="E60" s="46"/>
      <c r="F60" s="42"/>
      <c r="G60" s="46">
        <f>Source!V28</f>
        <v>1.2</v>
      </c>
      <c r="H60" s="42"/>
      <c r="I60" s="42"/>
      <c r="J60" s="42"/>
      <c r="K60" s="42"/>
      <c r="L60" s="47">
        <f>SUMIF(CE61:CE64, 1, L61:L64)</f>
        <v>611.97</v>
      </c>
      <c r="CE60">
        <v>1</v>
      </c>
    </row>
    <row r="61" spans="1:83" ht="28.5" x14ac:dyDescent="0.2">
      <c r="A61" s="40"/>
      <c r="B61" s="40" t="s">
        <v>267</v>
      </c>
      <c r="C61" s="40" t="s">
        <v>269</v>
      </c>
      <c r="D61" s="41" t="s">
        <v>270</v>
      </c>
      <c r="E61" s="42">
        <v>1</v>
      </c>
      <c r="F61" s="42">
        <f>ROUND(0.3,7)</f>
        <v>0.3</v>
      </c>
      <c r="G61" s="42">
        <f>SmtRes!CX3</f>
        <v>0.6</v>
      </c>
      <c r="H61" s="44"/>
      <c r="I61" s="43"/>
      <c r="J61" s="44">
        <f>SmtRes!CZ3</f>
        <v>1459.82</v>
      </c>
      <c r="K61" s="43"/>
      <c r="L61" s="44">
        <f>SmtRes!DG3</f>
        <v>875.89</v>
      </c>
    </row>
    <row r="62" spans="1:83" ht="28.5" x14ac:dyDescent="0.2">
      <c r="A62" s="40"/>
      <c r="B62" s="40" t="s">
        <v>271</v>
      </c>
      <c r="C62" s="40" t="s">
        <v>367</v>
      </c>
      <c r="D62" s="41" t="s">
        <v>264</v>
      </c>
      <c r="E62" s="42">
        <f>SmtRes!DO3*SmtRes!AT3</f>
        <v>1</v>
      </c>
      <c r="F62" s="42">
        <f>ROUND(0.3,7)</f>
        <v>0.3</v>
      </c>
      <c r="G62" s="42">
        <f>SmtRes!DO3*SmtRes!CX3</f>
        <v>0.6</v>
      </c>
      <c r="H62" s="44"/>
      <c r="I62" s="43"/>
      <c r="J62" s="44">
        <f>ROUND(SmtRes!AG3/SmtRes!DO3, 2)</f>
        <v>584.69000000000005</v>
      </c>
      <c r="K62" s="43"/>
      <c r="L62" s="44">
        <f>SmtRes!DH3</f>
        <v>350.81</v>
      </c>
      <c r="CE62">
        <v>1</v>
      </c>
    </row>
    <row r="63" spans="1:83" ht="28.5" x14ac:dyDescent="0.2">
      <c r="A63" s="40"/>
      <c r="B63" s="40" t="s">
        <v>272</v>
      </c>
      <c r="C63" s="40" t="s">
        <v>274</v>
      </c>
      <c r="D63" s="41" t="s">
        <v>270</v>
      </c>
      <c r="E63" s="42">
        <v>1</v>
      </c>
      <c r="F63" s="42">
        <f>ROUND(0.3,7)</f>
        <v>0.3</v>
      </c>
      <c r="G63" s="42">
        <f>SmtRes!CX4</f>
        <v>0.6</v>
      </c>
      <c r="H63" s="44">
        <f>SmtRes!CZ4</f>
        <v>477.92</v>
      </c>
      <c r="I63" s="43">
        <f>SmtRes!AJ4</f>
        <v>1.19</v>
      </c>
      <c r="J63" s="44">
        <f>ROUND(H63*I63, 2)</f>
        <v>568.72</v>
      </c>
      <c r="K63" s="43"/>
      <c r="L63" s="44">
        <f>SmtRes!DG4</f>
        <v>341.23</v>
      </c>
    </row>
    <row r="64" spans="1:83" ht="28.5" x14ac:dyDescent="0.2">
      <c r="A64" s="40"/>
      <c r="B64" s="40" t="s">
        <v>275</v>
      </c>
      <c r="C64" s="40" t="s">
        <v>368</v>
      </c>
      <c r="D64" s="41" t="s">
        <v>264</v>
      </c>
      <c r="E64" s="42">
        <f>SmtRes!DO4*SmtRes!AT4</f>
        <v>1</v>
      </c>
      <c r="F64" s="42">
        <f>ROUND(0.3,7)</f>
        <v>0.3</v>
      </c>
      <c r="G64" s="42">
        <f>SmtRes!DO4*SmtRes!CX4</f>
        <v>0.6</v>
      </c>
      <c r="H64" s="44"/>
      <c r="I64" s="43"/>
      <c r="J64" s="44">
        <f>ROUND(SmtRes!AG4/SmtRes!DO4, 2)</f>
        <v>435.27</v>
      </c>
      <c r="K64" s="43"/>
      <c r="L64" s="44">
        <f>SmtRes!DH4</f>
        <v>261.16000000000003</v>
      </c>
      <c r="CE64">
        <v>1</v>
      </c>
    </row>
    <row r="65" spans="1:83" ht="15" x14ac:dyDescent="0.2">
      <c r="A65" s="39"/>
      <c r="B65" s="42">
        <v>4</v>
      </c>
      <c r="C65" s="39" t="s">
        <v>370</v>
      </c>
      <c r="D65" s="41"/>
      <c r="E65" s="46"/>
      <c r="F65" s="42"/>
      <c r="G65" s="46"/>
      <c r="H65" s="42"/>
      <c r="I65" s="42"/>
      <c r="J65" s="42"/>
      <c r="K65" s="42"/>
      <c r="L65" s="47">
        <f>SUM(L66:L68)-SUMIF(CE66:CE68, 1, L66:L68)</f>
        <v>0</v>
      </c>
    </row>
    <row r="66" spans="1:83" ht="28.5" hidden="1" x14ac:dyDescent="0.2">
      <c r="A66" s="40"/>
      <c r="B66" s="40" t="s">
        <v>276</v>
      </c>
      <c r="C66" s="40" t="s">
        <v>278</v>
      </c>
      <c r="D66" s="41" t="s">
        <v>106</v>
      </c>
      <c r="E66" s="42">
        <v>0.42</v>
      </c>
      <c r="F66" s="42">
        <f>ROUND(0,7)</f>
        <v>0</v>
      </c>
      <c r="G66" s="42">
        <f>SmtRes!CX5</f>
        <v>0</v>
      </c>
      <c r="H66" s="44">
        <f>SmtRes!CZ5</f>
        <v>174.93</v>
      </c>
      <c r="I66" s="43">
        <f>SmtRes!AI5</f>
        <v>1.1100000000000001</v>
      </c>
      <c r="J66" s="44">
        <f>ROUND(H66*I66, 2)</f>
        <v>194.17</v>
      </c>
      <c r="K66" s="43"/>
      <c r="L66" s="44">
        <f>SmtRes!DF5</f>
        <v>0</v>
      </c>
    </row>
    <row r="67" spans="1:83" ht="42.75" hidden="1" x14ac:dyDescent="0.2">
      <c r="A67" s="40"/>
      <c r="B67" s="40" t="s">
        <v>279</v>
      </c>
      <c r="C67" s="40" t="s">
        <v>281</v>
      </c>
      <c r="D67" s="41" t="s">
        <v>282</v>
      </c>
      <c r="E67" s="42">
        <v>1E-3</v>
      </c>
      <c r="F67" s="42">
        <f>ROUND(0,7)</f>
        <v>0</v>
      </c>
      <c r="G67" s="42">
        <f>SmtRes!CX6</f>
        <v>0</v>
      </c>
      <c r="H67" s="44">
        <f>SmtRes!CZ6</f>
        <v>70310.45</v>
      </c>
      <c r="I67" s="43">
        <f>SmtRes!AI6</f>
        <v>0.89</v>
      </c>
      <c r="J67" s="44">
        <f>ROUND(H67*I67, 2)</f>
        <v>62576.3</v>
      </c>
      <c r="K67" s="43"/>
      <c r="L67" s="44">
        <f>SmtRes!DF6</f>
        <v>0</v>
      </c>
    </row>
    <row r="68" spans="1:83" ht="28.5" hidden="1" x14ac:dyDescent="0.2">
      <c r="A68" s="40"/>
      <c r="B68" s="40" t="s">
        <v>283</v>
      </c>
      <c r="C68" s="48" t="s">
        <v>285</v>
      </c>
      <c r="D68" s="49" t="s">
        <v>106</v>
      </c>
      <c r="E68" s="50">
        <v>0.3</v>
      </c>
      <c r="F68" s="50">
        <f>ROUND(0,7)</f>
        <v>0</v>
      </c>
      <c r="G68" s="50">
        <f>SmtRes!CX7</f>
        <v>0</v>
      </c>
      <c r="H68" s="51">
        <f>SmtRes!CZ7</f>
        <v>79.88</v>
      </c>
      <c r="I68" s="52">
        <f>SmtRes!AI7</f>
        <v>1.31</v>
      </c>
      <c r="J68" s="51">
        <f>ROUND(H68*I68, 2)</f>
        <v>104.64</v>
      </c>
      <c r="K68" s="52"/>
      <c r="L68" s="51">
        <f>SmtRes!DF7</f>
        <v>0</v>
      </c>
    </row>
    <row r="69" spans="1:83" ht="15" x14ac:dyDescent="0.2">
      <c r="A69" s="40"/>
      <c r="B69" s="40"/>
      <c r="C69" s="54" t="s">
        <v>371</v>
      </c>
      <c r="D69" s="41"/>
      <c r="E69" s="42"/>
      <c r="F69" s="42"/>
      <c r="G69" s="42"/>
      <c r="H69" s="44"/>
      <c r="I69" s="43"/>
      <c r="J69" s="44"/>
      <c r="K69" s="43"/>
      <c r="L69" s="44">
        <f>L57+L59+L60+L65</f>
        <v>7757.47</v>
      </c>
    </row>
    <row r="70" spans="1:83" ht="14.25" x14ac:dyDescent="0.2">
      <c r="A70" s="40"/>
      <c r="B70" s="40"/>
      <c r="C70" s="40" t="s">
        <v>372</v>
      </c>
      <c r="D70" s="41"/>
      <c r="E70" s="42"/>
      <c r="F70" s="42"/>
      <c r="G70" s="42"/>
      <c r="H70" s="44"/>
      <c r="I70" s="43"/>
      <c r="J70" s="44"/>
      <c r="K70" s="43"/>
      <c r="L70" s="44">
        <f>SUM(AR55:AR73)+SUM(AS55:AS73)+SUM(AT55:AT73)+SUM(AU55:AU73)+SUM(AV55:AV73)</f>
        <v>6540.35</v>
      </c>
    </row>
    <row r="71" spans="1:83" ht="28.5" x14ac:dyDescent="0.2">
      <c r="A71" s="40"/>
      <c r="B71" s="40" t="s">
        <v>32</v>
      </c>
      <c r="C71" s="40" t="s">
        <v>373</v>
      </c>
      <c r="D71" s="41" t="s">
        <v>288</v>
      </c>
      <c r="E71" s="42">
        <f>Source!BZ28</f>
        <v>97</v>
      </c>
      <c r="F71" s="42"/>
      <c r="G71" s="42">
        <f>Source!AT28</f>
        <v>97</v>
      </c>
      <c r="H71" s="44"/>
      <c r="I71" s="43"/>
      <c r="J71" s="44"/>
      <c r="K71" s="43"/>
      <c r="L71" s="44">
        <f>SUM(AZ55:AZ73)</f>
        <v>6344.14</v>
      </c>
    </row>
    <row r="72" spans="1:83" ht="28.5" x14ac:dyDescent="0.2">
      <c r="A72" s="48"/>
      <c r="B72" s="48" t="s">
        <v>33</v>
      </c>
      <c r="C72" s="48" t="s">
        <v>374</v>
      </c>
      <c r="D72" s="49" t="s">
        <v>288</v>
      </c>
      <c r="E72" s="50">
        <f>Source!CA28</f>
        <v>51</v>
      </c>
      <c r="F72" s="50"/>
      <c r="G72" s="50">
        <f>Source!AU28</f>
        <v>51</v>
      </c>
      <c r="H72" s="51"/>
      <c r="I72" s="52"/>
      <c r="J72" s="51"/>
      <c r="K72" s="52"/>
      <c r="L72" s="51">
        <f>SUM(BA55:BA73)</f>
        <v>3335.58</v>
      </c>
    </row>
    <row r="73" spans="1:83" ht="15" x14ac:dyDescent="0.2">
      <c r="C73" s="94" t="s">
        <v>375</v>
      </c>
      <c r="D73" s="94"/>
      <c r="E73" s="94"/>
      <c r="F73" s="94"/>
      <c r="G73" s="94"/>
      <c r="H73" s="94"/>
      <c r="I73" s="95">
        <f>K73/E55</f>
        <v>8718.5950000000012</v>
      </c>
      <c r="J73" s="95"/>
      <c r="K73" s="95">
        <f>L57+L59+L65+L71+L72+L60</f>
        <v>17437.190000000002</v>
      </c>
      <c r="L73" s="95"/>
      <c r="AD73">
        <f>ROUND((Source!AT28/100)*((ROUND(SUMIF(SmtRes!AQ1:'SmtRes'!AQ8,"=1",SmtRes!AD1:'SmtRes'!AD8)*Source!I28, 2)+ROUND(SUMIF(SmtRes!AQ1:'SmtRes'!AQ8,"=1",SmtRes!AC1:'SmtRes'!AC8)*Source!I28, 2))), 2)</f>
        <v>2823.15</v>
      </c>
      <c r="AE73">
        <f>ROUND((Source!AU28/100)*((ROUND(SUMIF(SmtRes!AQ1:'SmtRes'!AQ8,"=1",SmtRes!AD1:'SmtRes'!AD8)*Source!I28, 2)+ROUND(SUMIF(SmtRes!AQ1:'SmtRes'!AQ8,"=1",SmtRes!AC1:'SmtRes'!AC8)*Source!I28, 2))), 2)</f>
        <v>1484.33</v>
      </c>
      <c r="AN73" s="53">
        <f>L57+L59+L65+L71+L72+L60</f>
        <v>17437.190000000002</v>
      </c>
      <c r="AO73" s="53">
        <f>L59</f>
        <v>1217.1199999999999</v>
      </c>
      <c r="AQ73" t="s">
        <v>376</v>
      </c>
      <c r="AR73" s="53">
        <f>L57</f>
        <v>5928.38</v>
      </c>
      <c r="AT73" s="53">
        <f>L60</f>
        <v>611.97</v>
      </c>
      <c r="AV73" t="s">
        <v>376</v>
      </c>
      <c r="AW73" s="53">
        <f>L65</f>
        <v>0</v>
      </c>
      <c r="AZ73">
        <f>Source!X28</f>
        <v>6344.14</v>
      </c>
      <c r="BA73">
        <f>Source!Y28</f>
        <v>3335.58</v>
      </c>
      <c r="CD73">
        <v>2</v>
      </c>
    </row>
    <row r="74" spans="1:83" ht="106.5" x14ac:dyDescent="0.2">
      <c r="A74" s="38" t="s">
        <v>34</v>
      </c>
      <c r="B74" s="40" t="s">
        <v>377</v>
      </c>
      <c r="C74" s="40" t="s">
        <v>378</v>
      </c>
      <c r="D74" s="41" t="str">
        <f>Source!H29</f>
        <v>100 м</v>
      </c>
      <c r="E74" s="42">
        <f>Source!K29</f>
        <v>4.8000000000000001E-2</v>
      </c>
      <c r="F74" s="42"/>
      <c r="G74" s="42">
        <f>Source!I29</f>
        <v>4.8000000000000001E-2</v>
      </c>
      <c r="H74" s="44"/>
      <c r="I74" s="43"/>
      <c r="J74" s="44"/>
      <c r="K74" s="43"/>
      <c r="L74" s="44"/>
    </row>
    <row r="75" spans="1:83" ht="25.5" x14ac:dyDescent="0.2">
      <c r="B75" s="45" t="str">
        <f>Source!EO29</f>
        <v>Поправка: 571/пр_2022_т.3_п.4</v>
      </c>
    </row>
    <row r="76" spans="1:83" x14ac:dyDescent="0.2">
      <c r="C76" s="57" t="str">
        <f>"Объем: "&amp;Source!I29&amp;"=4,8/"&amp;"100"</f>
        <v>Объем: 0,048=4,8/100</v>
      </c>
    </row>
    <row r="77" spans="1:83" ht="15" x14ac:dyDescent="0.2">
      <c r="A77" s="39"/>
      <c r="B77" s="42">
        <v>1</v>
      </c>
      <c r="C77" s="39" t="s">
        <v>365</v>
      </c>
      <c r="D77" s="41" t="s">
        <v>264</v>
      </c>
      <c r="E77" s="46"/>
      <c r="F77" s="42"/>
      <c r="G77" s="46">
        <f>Source!U29</f>
        <v>0.72719999999999996</v>
      </c>
      <c r="H77" s="42"/>
      <c r="I77" s="42"/>
      <c r="J77" s="42"/>
      <c r="K77" s="42"/>
      <c r="L77" s="47">
        <f>SUM(L78:L78)-SUMIF(CE78:CE78, 1, L78:L78)</f>
        <v>316.52999999999997</v>
      </c>
    </row>
    <row r="78" spans="1:83" ht="28.5" x14ac:dyDescent="0.2">
      <c r="A78" s="40"/>
      <c r="B78" s="40" t="s">
        <v>262</v>
      </c>
      <c r="C78" s="40" t="s">
        <v>263</v>
      </c>
      <c r="D78" s="41" t="s">
        <v>264</v>
      </c>
      <c r="E78" s="42">
        <v>50.5</v>
      </c>
      <c r="F78" s="42">
        <f>ROUND(0.3,7)</f>
        <v>0.3</v>
      </c>
      <c r="G78" s="42">
        <f>SmtRes!CX9</f>
        <v>0.72719999999999996</v>
      </c>
      <c r="H78" s="44"/>
      <c r="I78" s="43"/>
      <c r="J78" s="44">
        <f>SmtRes!CZ9</f>
        <v>435.27</v>
      </c>
      <c r="K78" s="43"/>
      <c r="L78" s="44">
        <f>SmtRes!DI9</f>
        <v>316.52999999999997</v>
      </c>
    </row>
    <row r="79" spans="1:83" ht="15" x14ac:dyDescent="0.2">
      <c r="A79" s="39"/>
      <c r="B79" s="42">
        <v>2</v>
      </c>
      <c r="C79" s="39" t="s">
        <v>366</v>
      </c>
      <c r="D79" s="41"/>
      <c r="E79" s="46"/>
      <c r="F79" s="42"/>
      <c r="G79" s="46"/>
      <c r="H79" s="42"/>
      <c r="I79" s="42"/>
      <c r="J79" s="42"/>
      <c r="K79" s="42"/>
      <c r="L79" s="47">
        <f>SUM(L80:L87)-SUMIF(CE80:CE87, 1, L80:L87)</f>
        <v>10.910000000000011</v>
      </c>
    </row>
    <row r="80" spans="1:83" ht="15" x14ac:dyDescent="0.2">
      <c r="A80" s="39"/>
      <c r="B80" s="42"/>
      <c r="C80" s="39" t="s">
        <v>369</v>
      </c>
      <c r="D80" s="41" t="s">
        <v>264</v>
      </c>
      <c r="E80" s="46"/>
      <c r="F80" s="42"/>
      <c r="G80" s="46">
        <f>Source!V29</f>
        <v>9.1151999999999997E-2</v>
      </c>
      <c r="H80" s="42"/>
      <c r="I80" s="42"/>
      <c r="J80" s="42"/>
      <c r="K80" s="42"/>
      <c r="L80" s="47">
        <f>SUMIF(CE81:CE87, 1, L81:L87)</f>
        <v>40.1</v>
      </c>
      <c r="CE80">
        <v>1</v>
      </c>
    </row>
    <row r="81" spans="1:83" ht="28.5" x14ac:dyDescent="0.2">
      <c r="A81" s="40"/>
      <c r="B81" s="40" t="s">
        <v>267</v>
      </c>
      <c r="C81" s="40" t="s">
        <v>269</v>
      </c>
      <c r="D81" s="41" t="s">
        <v>270</v>
      </c>
      <c r="E81" s="42">
        <v>0.2</v>
      </c>
      <c r="F81" s="42">
        <f t="shared" ref="F81:F87" si="0">ROUND(0.3,7)</f>
        <v>0.3</v>
      </c>
      <c r="G81" s="42">
        <f>SmtRes!CX11</f>
        <v>2.8800000000000002E-3</v>
      </c>
      <c r="H81" s="44"/>
      <c r="I81" s="43"/>
      <c r="J81" s="44">
        <f>SmtRes!CZ11</f>
        <v>1459.82</v>
      </c>
      <c r="K81" s="43"/>
      <c r="L81" s="44">
        <f>SmtRes!DG11</f>
        <v>4.2</v>
      </c>
    </row>
    <row r="82" spans="1:83" ht="28.5" x14ac:dyDescent="0.2">
      <c r="A82" s="40"/>
      <c r="B82" s="40" t="s">
        <v>271</v>
      </c>
      <c r="C82" s="40" t="s">
        <v>367</v>
      </c>
      <c r="D82" s="41" t="s">
        <v>264</v>
      </c>
      <c r="E82" s="42">
        <f>SmtRes!DO11*SmtRes!AT11</f>
        <v>0.2</v>
      </c>
      <c r="F82" s="42">
        <f t="shared" si="0"/>
        <v>0.3</v>
      </c>
      <c r="G82" s="42">
        <f>SmtRes!DO11*SmtRes!CX11</f>
        <v>2.8800000000000002E-3</v>
      </c>
      <c r="H82" s="44"/>
      <c r="I82" s="43"/>
      <c r="J82" s="44">
        <f>ROUND(SmtRes!AG11/SmtRes!DO11, 2)</f>
        <v>584.69000000000005</v>
      </c>
      <c r="K82" s="43"/>
      <c r="L82" s="44">
        <f>SmtRes!DH11</f>
        <v>1.68</v>
      </c>
      <c r="CE82">
        <v>1</v>
      </c>
    </row>
    <row r="83" spans="1:83" ht="28.5" x14ac:dyDescent="0.2">
      <c r="A83" s="40"/>
      <c r="B83" s="40" t="s">
        <v>272</v>
      </c>
      <c r="C83" s="40" t="s">
        <v>274</v>
      </c>
      <c r="D83" s="41" t="s">
        <v>270</v>
      </c>
      <c r="E83" s="42">
        <v>0.2</v>
      </c>
      <c r="F83" s="42">
        <f t="shared" si="0"/>
        <v>0.3</v>
      </c>
      <c r="G83" s="42">
        <f>SmtRes!CX12</f>
        <v>2.8800000000000002E-3</v>
      </c>
      <c r="H83" s="44">
        <f>SmtRes!CZ12</f>
        <v>477.92</v>
      </c>
      <c r="I83" s="43">
        <f>SmtRes!AJ12</f>
        <v>1.19</v>
      </c>
      <c r="J83" s="44">
        <f>ROUND(H83*I83, 2)</f>
        <v>568.72</v>
      </c>
      <c r="K83" s="43"/>
      <c r="L83" s="44">
        <f>SmtRes!DG12</f>
        <v>1.64</v>
      </c>
    </row>
    <row r="84" spans="1:83" ht="28.5" x14ac:dyDescent="0.2">
      <c r="A84" s="40"/>
      <c r="B84" s="40" t="s">
        <v>275</v>
      </c>
      <c r="C84" s="40" t="s">
        <v>368</v>
      </c>
      <c r="D84" s="41" t="s">
        <v>264</v>
      </c>
      <c r="E84" s="42">
        <f>SmtRes!DO12*SmtRes!AT12</f>
        <v>0.2</v>
      </c>
      <c r="F84" s="42">
        <f t="shared" si="0"/>
        <v>0.3</v>
      </c>
      <c r="G84" s="42">
        <f>SmtRes!DO12*SmtRes!CX12</f>
        <v>2.8800000000000002E-3</v>
      </c>
      <c r="H84" s="44"/>
      <c r="I84" s="43"/>
      <c r="J84" s="44">
        <f>ROUND(SmtRes!AG12/SmtRes!DO12, 2)</f>
        <v>435.27</v>
      </c>
      <c r="K84" s="43"/>
      <c r="L84" s="44">
        <f>SmtRes!DH12</f>
        <v>1.25</v>
      </c>
      <c r="CE84">
        <v>1</v>
      </c>
    </row>
    <row r="85" spans="1:83" ht="42.75" x14ac:dyDescent="0.2">
      <c r="A85" s="40"/>
      <c r="B85" s="40" t="s">
        <v>289</v>
      </c>
      <c r="C85" s="40" t="s">
        <v>291</v>
      </c>
      <c r="D85" s="41" t="s">
        <v>270</v>
      </c>
      <c r="E85" s="42">
        <v>6.25</v>
      </c>
      <c r="F85" s="42">
        <f t="shared" si="0"/>
        <v>0.3</v>
      </c>
      <c r="G85" s="42">
        <f>SmtRes!CX13</f>
        <v>0.09</v>
      </c>
      <c r="H85" s="44"/>
      <c r="I85" s="43"/>
      <c r="J85" s="44">
        <f>SmtRes!CZ13</f>
        <v>25.86</v>
      </c>
      <c r="K85" s="43"/>
      <c r="L85" s="44">
        <f>SmtRes!DG13</f>
        <v>2.33</v>
      </c>
    </row>
    <row r="86" spans="1:83" ht="28.5" x14ac:dyDescent="0.2">
      <c r="A86" s="40"/>
      <c r="B86" s="40" t="s">
        <v>292</v>
      </c>
      <c r="C86" s="40" t="s">
        <v>294</v>
      </c>
      <c r="D86" s="41" t="s">
        <v>270</v>
      </c>
      <c r="E86" s="42">
        <v>5.93</v>
      </c>
      <c r="F86" s="42">
        <f t="shared" si="0"/>
        <v>0.3</v>
      </c>
      <c r="G86" s="42">
        <f>SmtRes!CX14</f>
        <v>8.5391999999999996E-2</v>
      </c>
      <c r="H86" s="44">
        <f>SmtRes!CZ14</f>
        <v>26.76</v>
      </c>
      <c r="I86" s="43">
        <f>SmtRes!AJ14</f>
        <v>1.2</v>
      </c>
      <c r="J86" s="44">
        <f>ROUND(H86*I86, 2)</f>
        <v>32.11</v>
      </c>
      <c r="K86" s="43"/>
      <c r="L86" s="44">
        <f>SmtRes!DG14</f>
        <v>2.74</v>
      </c>
    </row>
    <row r="87" spans="1:83" ht="28.5" x14ac:dyDescent="0.2">
      <c r="A87" s="40"/>
      <c r="B87" s="40" t="s">
        <v>275</v>
      </c>
      <c r="C87" s="40" t="s">
        <v>368</v>
      </c>
      <c r="D87" s="41" t="s">
        <v>264</v>
      </c>
      <c r="E87" s="42">
        <f>SmtRes!DO14*SmtRes!AT14</f>
        <v>5.93</v>
      </c>
      <c r="F87" s="42">
        <f t="shared" si="0"/>
        <v>0.3</v>
      </c>
      <c r="G87" s="42">
        <f>SmtRes!DO14*SmtRes!CX14</f>
        <v>8.5391999999999996E-2</v>
      </c>
      <c r="H87" s="44"/>
      <c r="I87" s="43"/>
      <c r="J87" s="44">
        <f>ROUND(SmtRes!AG14/SmtRes!DO14, 2)</f>
        <v>435.27</v>
      </c>
      <c r="K87" s="43"/>
      <c r="L87" s="44">
        <f>SmtRes!DH14</f>
        <v>37.17</v>
      </c>
      <c r="CE87">
        <v>1</v>
      </c>
    </row>
    <row r="88" spans="1:83" ht="15" x14ac:dyDescent="0.2">
      <c r="A88" s="39"/>
      <c r="B88" s="42">
        <v>4</v>
      </c>
      <c r="C88" s="39" t="s">
        <v>370</v>
      </c>
      <c r="D88" s="41"/>
      <c r="E88" s="46"/>
      <c r="F88" s="42"/>
      <c r="G88" s="46"/>
      <c r="H88" s="42"/>
      <c r="I88" s="42"/>
      <c r="J88" s="42"/>
      <c r="K88" s="42"/>
      <c r="L88" s="47">
        <f>SUM(L89:L93)-SUMIF(CE89:CE93, 1, L89:L93)</f>
        <v>0</v>
      </c>
    </row>
    <row r="89" spans="1:83" ht="14.25" hidden="1" x14ac:dyDescent="0.2">
      <c r="A89" s="40"/>
      <c r="B89" s="40" t="s">
        <v>295</v>
      </c>
      <c r="C89" s="40" t="s">
        <v>297</v>
      </c>
      <c r="D89" s="41" t="s">
        <v>298</v>
      </c>
      <c r="E89" s="42">
        <v>0.44</v>
      </c>
      <c r="F89" s="42">
        <f>ROUND(0,7)</f>
        <v>0</v>
      </c>
      <c r="G89" s="42">
        <f>SmtRes!CX15</f>
        <v>0</v>
      </c>
      <c r="H89" s="44">
        <f>SmtRes!CZ15</f>
        <v>253.96</v>
      </c>
      <c r="I89" s="43">
        <f>SmtRes!AI15</f>
        <v>1.02</v>
      </c>
      <c r="J89" s="44">
        <f>ROUND(H89*I89, 2)</f>
        <v>259.04000000000002</v>
      </c>
      <c r="K89" s="43"/>
      <c r="L89" s="44">
        <f>SmtRes!DF15</f>
        <v>0</v>
      </c>
    </row>
    <row r="90" spans="1:83" ht="57" hidden="1" x14ac:dyDescent="0.2">
      <c r="A90" s="40"/>
      <c r="B90" s="40" t="s">
        <v>299</v>
      </c>
      <c r="C90" s="40" t="s">
        <v>301</v>
      </c>
      <c r="D90" s="41" t="s">
        <v>106</v>
      </c>
      <c r="E90" s="42">
        <v>0.03</v>
      </c>
      <c r="F90" s="42">
        <f>ROUND(0,7)</f>
        <v>0</v>
      </c>
      <c r="G90" s="42">
        <f>SmtRes!CX16</f>
        <v>0</v>
      </c>
      <c r="H90" s="44">
        <f>SmtRes!CZ16</f>
        <v>155.63</v>
      </c>
      <c r="I90" s="43">
        <f>SmtRes!AI16</f>
        <v>0.95</v>
      </c>
      <c r="J90" s="44">
        <f>ROUND(H90*I90, 2)</f>
        <v>147.85</v>
      </c>
      <c r="K90" s="43"/>
      <c r="L90" s="44">
        <f>SmtRes!DF16</f>
        <v>0</v>
      </c>
    </row>
    <row r="91" spans="1:83" ht="57" hidden="1" x14ac:dyDescent="0.2">
      <c r="A91" s="40"/>
      <c r="B91" s="40" t="s">
        <v>302</v>
      </c>
      <c r="C91" s="40" t="s">
        <v>304</v>
      </c>
      <c r="D91" s="41" t="s">
        <v>282</v>
      </c>
      <c r="E91" s="42">
        <v>1.2999999999999999E-4</v>
      </c>
      <c r="F91" s="42">
        <f>ROUND(0,7)</f>
        <v>0</v>
      </c>
      <c r="G91" s="42">
        <f>SmtRes!CX17</f>
        <v>0</v>
      </c>
      <c r="H91" s="44">
        <f>SmtRes!CZ17</f>
        <v>709576.9</v>
      </c>
      <c r="I91" s="43">
        <f>SmtRes!AI17</f>
        <v>0.78</v>
      </c>
      <c r="J91" s="44">
        <f>ROUND(H91*I91, 2)</f>
        <v>553469.98</v>
      </c>
      <c r="K91" s="43"/>
      <c r="L91" s="44">
        <f>SmtRes!DF17</f>
        <v>0</v>
      </c>
    </row>
    <row r="92" spans="1:83" ht="28.5" hidden="1" x14ac:dyDescent="0.2">
      <c r="A92" s="40"/>
      <c r="B92" s="40" t="s">
        <v>305</v>
      </c>
      <c r="C92" s="40" t="s">
        <v>307</v>
      </c>
      <c r="D92" s="41" t="s">
        <v>282</v>
      </c>
      <c r="E92" s="42">
        <v>1.8000000000000001E-4</v>
      </c>
      <c r="F92" s="42">
        <f>ROUND(0,7)</f>
        <v>0</v>
      </c>
      <c r="G92" s="42">
        <f>SmtRes!CX18</f>
        <v>0</v>
      </c>
      <c r="H92" s="44">
        <f>SmtRes!CZ18</f>
        <v>945143.92</v>
      </c>
      <c r="I92" s="43">
        <f>SmtRes!AI18</f>
        <v>0.78</v>
      </c>
      <c r="J92" s="44">
        <f>ROUND(H92*I92, 2)</f>
        <v>737212.26</v>
      </c>
      <c r="K92" s="43"/>
      <c r="L92" s="44">
        <f>SmtRes!DF18</f>
        <v>0</v>
      </c>
    </row>
    <row r="93" spans="1:83" ht="28.5" hidden="1" x14ac:dyDescent="0.2">
      <c r="A93" s="40"/>
      <c r="B93" s="40" t="s">
        <v>283</v>
      </c>
      <c r="C93" s="48" t="s">
        <v>285</v>
      </c>
      <c r="D93" s="49" t="s">
        <v>106</v>
      </c>
      <c r="E93" s="50">
        <v>1.36</v>
      </c>
      <c r="F93" s="50">
        <f>ROUND(0,7)</f>
        <v>0</v>
      </c>
      <c r="G93" s="50">
        <f>SmtRes!CX19</f>
        <v>0</v>
      </c>
      <c r="H93" s="51">
        <f>SmtRes!CZ19</f>
        <v>79.88</v>
      </c>
      <c r="I93" s="52">
        <f>SmtRes!AI19</f>
        <v>1.31</v>
      </c>
      <c r="J93" s="51">
        <f>ROUND(H93*I93, 2)</f>
        <v>104.64</v>
      </c>
      <c r="K93" s="52"/>
      <c r="L93" s="51">
        <f>SmtRes!DF19</f>
        <v>0</v>
      </c>
    </row>
    <row r="94" spans="1:83" ht="15" x14ac:dyDescent="0.2">
      <c r="A94" s="40"/>
      <c r="B94" s="40"/>
      <c r="C94" s="54" t="s">
        <v>371</v>
      </c>
      <c r="D94" s="41"/>
      <c r="E94" s="42"/>
      <c r="F94" s="42"/>
      <c r="G94" s="42"/>
      <c r="H94" s="44"/>
      <c r="I94" s="43"/>
      <c r="J94" s="44"/>
      <c r="K94" s="43"/>
      <c r="L94" s="44">
        <f>L77+L79+L80+L88</f>
        <v>367.54</v>
      </c>
    </row>
    <row r="95" spans="1:83" ht="14.25" x14ac:dyDescent="0.2">
      <c r="A95" s="40"/>
      <c r="B95" s="40"/>
      <c r="C95" s="40" t="s">
        <v>372</v>
      </c>
      <c r="D95" s="41"/>
      <c r="E95" s="42"/>
      <c r="F95" s="42"/>
      <c r="G95" s="42"/>
      <c r="H95" s="44"/>
      <c r="I95" s="43"/>
      <c r="J95" s="44"/>
      <c r="K95" s="43"/>
      <c r="L95" s="44">
        <f>SUM(AR74:AR98)+SUM(AS74:AS98)+SUM(AT74:AT98)+SUM(AU74:AU98)+SUM(AV74:AV98)</f>
        <v>356.63</v>
      </c>
    </row>
    <row r="96" spans="1:83" ht="28.5" x14ac:dyDescent="0.2">
      <c r="A96" s="40"/>
      <c r="B96" s="40" t="s">
        <v>32</v>
      </c>
      <c r="C96" s="40" t="s">
        <v>373</v>
      </c>
      <c r="D96" s="41" t="s">
        <v>288</v>
      </c>
      <c r="E96" s="42">
        <f>Source!BZ29</f>
        <v>97</v>
      </c>
      <c r="F96" s="42"/>
      <c r="G96" s="42">
        <f>Source!AT29</f>
        <v>97</v>
      </c>
      <c r="H96" s="44"/>
      <c r="I96" s="43"/>
      <c r="J96" s="44"/>
      <c r="K96" s="43"/>
      <c r="L96" s="44">
        <f>SUM(AZ74:AZ98)</f>
        <v>345.93</v>
      </c>
    </row>
    <row r="97" spans="1:82" ht="28.5" x14ac:dyDescent="0.2">
      <c r="A97" s="48"/>
      <c r="B97" s="48" t="s">
        <v>33</v>
      </c>
      <c r="C97" s="48" t="s">
        <v>374</v>
      </c>
      <c r="D97" s="49" t="s">
        <v>288</v>
      </c>
      <c r="E97" s="50">
        <f>Source!CA29</f>
        <v>51</v>
      </c>
      <c r="F97" s="50"/>
      <c r="G97" s="50">
        <f>Source!AU29</f>
        <v>51</v>
      </c>
      <c r="H97" s="51"/>
      <c r="I97" s="52"/>
      <c r="J97" s="51"/>
      <c r="K97" s="52"/>
      <c r="L97" s="51">
        <f>SUM(BA74:BA98)</f>
        <v>181.88</v>
      </c>
    </row>
    <row r="98" spans="1:82" ht="15" x14ac:dyDescent="0.2">
      <c r="C98" s="94" t="s">
        <v>375</v>
      </c>
      <c r="D98" s="94"/>
      <c r="E98" s="94"/>
      <c r="F98" s="94"/>
      <c r="G98" s="94"/>
      <c r="H98" s="94"/>
      <c r="I98" s="95">
        <f>K98/E74</f>
        <v>18653.125</v>
      </c>
      <c r="J98" s="95"/>
      <c r="K98" s="95">
        <f>L77+L79+L88+L96+L97+L80</f>
        <v>895.35</v>
      </c>
      <c r="L98" s="95"/>
      <c r="AD98">
        <f>ROUND((Source!AT29/100)*((ROUND(SUMIF(SmtRes!AQ9:'SmtRes'!AQ20,"=1",SmtRes!AD9:'SmtRes'!AD20)*Source!I29, 2)+ROUND(SUMIF(SmtRes!AQ9:'SmtRes'!AQ20,"=1",SmtRes!AC9:'SmtRes'!AC20)*Source!I29, 2))), 2)</f>
        <v>88.02</v>
      </c>
      <c r="AE98">
        <f>ROUND((Source!AU29/100)*((ROUND(SUMIF(SmtRes!AQ9:'SmtRes'!AQ20,"=1",SmtRes!AD9:'SmtRes'!AD20)*Source!I29, 2)+ROUND(SUMIF(SmtRes!AQ9:'SmtRes'!AQ20,"=1",SmtRes!AC9:'SmtRes'!AC20)*Source!I29, 2))), 2)</f>
        <v>46.28</v>
      </c>
      <c r="AN98" s="53">
        <f>L77+L79+L88+L96+L97+L80</f>
        <v>895.35</v>
      </c>
      <c r="AO98" s="53">
        <f>L79</f>
        <v>10.910000000000011</v>
      </c>
      <c r="AQ98" t="s">
        <v>376</v>
      </c>
      <c r="AR98" s="53">
        <f>L77</f>
        <v>316.52999999999997</v>
      </c>
      <c r="AT98" s="53">
        <f>L80</f>
        <v>40.1</v>
      </c>
      <c r="AV98" t="s">
        <v>376</v>
      </c>
      <c r="AW98" s="53">
        <f>L88</f>
        <v>0</v>
      </c>
      <c r="AZ98">
        <f>Source!X29</f>
        <v>345.93</v>
      </c>
      <c r="BA98">
        <f>Source!Y29</f>
        <v>181.88</v>
      </c>
      <c r="CD98">
        <v>2</v>
      </c>
    </row>
    <row r="100" spans="1:82" ht="15" x14ac:dyDescent="0.2">
      <c r="A100" s="59"/>
      <c r="B100" s="60"/>
      <c r="C100" s="112" t="s">
        <v>379</v>
      </c>
      <c r="D100" s="112"/>
      <c r="E100" s="112"/>
      <c r="F100" s="112"/>
      <c r="G100" s="112"/>
      <c r="H100" s="112"/>
      <c r="I100" s="47"/>
      <c r="J100" s="59"/>
      <c r="K100" s="61"/>
      <c r="L100" s="47">
        <f>L102+L103+L109+L113</f>
        <v>8125.01</v>
      </c>
    </row>
    <row r="101" spans="1:82" ht="14.25" x14ac:dyDescent="0.2">
      <c r="A101" s="55"/>
      <c r="B101" s="58"/>
      <c r="C101" s="110" t="s">
        <v>380</v>
      </c>
      <c r="D101" s="111"/>
      <c r="E101" s="111"/>
      <c r="F101" s="111"/>
      <c r="G101" s="111"/>
      <c r="H101" s="111"/>
      <c r="I101" s="44"/>
      <c r="J101" s="55"/>
      <c r="K101" s="42"/>
      <c r="L101" s="44"/>
    </row>
    <row r="102" spans="1:82" ht="14.25" x14ac:dyDescent="0.2">
      <c r="A102" s="55"/>
      <c r="B102" s="58"/>
      <c r="C102" s="111" t="s">
        <v>381</v>
      </c>
      <c r="D102" s="111"/>
      <c r="E102" s="111"/>
      <c r="F102" s="111"/>
      <c r="G102" s="111"/>
      <c r="H102" s="111"/>
      <c r="I102" s="44"/>
      <c r="J102" s="55"/>
      <c r="K102" s="42"/>
      <c r="L102" s="44">
        <f>SUM(AR54:AR98)</f>
        <v>6244.91</v>
      </c>
    </row>
    <row r="103" spans="1:82" ht="14.25" hidden="1" x14ac:dyDescent="0.2">
      <c r="A103" s="55"/>
      <c r="B103" s="58"/>
      <c r="C103" s="111" t="s">
        <v>382</v>
      </c>
      <c r="D103" s="111"/>
      <c r="E103" s="111"/>
      <c r="F103" s="111"/>
      <c r="G103" s="111"/>
      <c r="H103" s="111"/>
      <c r="I103" s="44"/>
      <c r="J103" s="55"/>
      <c r="K103" s="42"/>
      <c r="L103" s="44">
        <f>L105+L108+L107</f>
        <v>1880.1</v>
      </c>
    </row>
    <row r="104" spans="1:82" ht="14.25" hidden="1" x14ac:dyDescent="0.2">
      <c r="A104" s="55"/>
      <c r="B104" s="58"/>
      <c r="C104" s="110" t="s">
        <v>383</v>
      </c>
      <c r="D104" s="111"/>
      <c r="E104" s="111"/>
      <c r="F104" s="111"/>
      <c r="G104" s="111"/>
      <c r="H104" s="111"/>
      <c r="I104" s="44"/>
      <c r="J104" s="55"/>
      <c r="K104" s="42"/>
      <c r="L104" s="44"/>
    </row>
    <row r="105" spans="1:82" ht="14.25" x14ac:dyDescent="0.2">
      <c r="A105" s="55"/>
      <c r="B105" s="58"/>
      <c r="C105" s="111" t="s">
        <v>382</v>
      </c>
      <c r="D105" s="111"/>
      <c r="E105" s="111"/>
      <c r="F105" s="111"/>
      <c r="G105" s="111"/>
      <c r="H105" s="111"/>
      <c r="I105" s="44"/>
      <c r="J105" s="55"/>
      <c r="K105" s="42"/>
      <c r="L105" s="44">
        <f>SUM(AO54:AO98)</f>
        <v>1228.03</v>
      </c>
    </row>
    <row r="106" spans="1:82" ht="14.25" hidden="1" x14ac:dyDescent="0.2">
      <c r="A106" s="55"/>
      <c r="B106" s="58"/>
      <c r="C106" s="110" t="s">
        <v>384</v>
      </c>
      <c r="D106" s="111"/>
      <c r="E106" s="111"/>
      <c r="F106" s="111"/>
      <c r="G106" s="111"/>
      <c r="H106" s="111"/>
      <c r="I106" s="44"/>
      <c r="J106" s="55"/>
      <c r="K106" s="42"/>
      <c r="L106" s="44"/>
    </row>
    <row r="107" spans="1:82" ht="14.25" x14ac:dyDescent="0.2">
      <c r="A107" s="55"/>
      <c r="B107" s="58"/>
      <c r="C107" s="111" t="s">
        <v>404</v>
      </c>
      <c r="D107" s="111"/>
      <c r="E107" s="111"/>
      <c r="F107" s="111"/>
      <c r="G107" s="111"/>
      <c r="H107" s="111"/>
      <c r="I107" s="44"/>
      <c r="J107" s="55"/>
      <c r="K107" s="42"/>
      <c r="L107" s="44">
        <f>SUM(AT54:AT98)</f>
        <v>652.07000000000005</v>
      </c>
    </row>
    <row r="108" spans="1:82" ht="14.25" hidden="1" x14ac:dyDescent="0.2">
      <c r="A108" s="55"/>
      <c r="B108" s="58"/>
      <c r="C108" s="111" t="s">
        <v>385</v>
      </c>
      <c r="D108" s="111"/>
      <c r="E108" s="111"/>
      <c r="F108" s="111"/>
      <c r="G108" s="111"/>
      <c r="H108" s="111"/>
      <c r="I108" s="44"/>
      <c r="J108" s="55"/>
      <c r="K108" s="42"/>
      <c r="L108" s="44">
        <f>SUM(AV54:AV98)</f>
        <v>0</v>
      </c>
    </row>
    <row r="109" spans="1:82" ht="14.25" hidden="1" x14ac:dyDescent="0.2">
      <c r="A109" s="55"/>
      <c r="B109" s="58"/>
      <c r="C109" s="111" t="s">
        <v>386</v>
      </c>
      <c r="D109" s="111"/>
      <c r="E109" s="111"/>
      <c r="F109" s="111"/>
      <c r="G109" s="111"/>
      <c r="H109" s="111"/>
      <c r="I109" s="44"/>
      <c r="J109" s="55"/>
      <c r="K109" s="42"/>
      <c r="L109" s="44">
        <f>L111+L112</f>
        <v>0</v>
      </c>
    </row>
    <row r="110" spans="1:82" ht="14.25" hidden="1" x14ac:dyDescent="0.2">
      <c r="A110" s="55"/>
      <c r="B110" s="58"/>
      <c r="C110" s="110" t="s">
        <v>383</v>
      </c>
      <c r="D110" s="111"/>
      <c r="E110" s="111"/>
      <c r="F110" s="111"/>
      <c r="G110" s="111"/>
      <c r="H110" s="111"/>
      <c r="I110" s="44"/>
      <c r="J110" s="55"/>
      <c r="K110" s="42"/>
      <c r="L110" s="44"/>
    </row>
    <row r="111" spans="1:82" ht="14.25" hidden="1" x14ac:dyDescent="0.2">
      <c r="A111" s="55"/>
      <c r="B111" s="58"/>
      <c r="C111" s="111" t="s">
        <v>387</v>
      </c>
      <c r="D111" s="111"/>
      <c r="E111" s="111"/>
      <c r="F111" s="111"/>
      <c r="G111" s="111"/>
      <c r="H111" s="111"/>
      <c r="I111" s="44"/>
      <c r="J111" s="55"/>
      <c r="K111" s="42"/>
      <c r="L111" s="44">
        <f>SUM(AW54:AW98)-SUM(BK54:BK98)</f>
        <v>0</v>
      </c>
    </row>
    <row r="112" spans="1:82" ht="14.25" hidden="1" x14ac:dyDescent="0.2">
      <c r="A112" s="55"/>
      <c r="B112" s="58"/>
      <c r="C112" s="111" t="s">
        <v>388</v>
      </c>
      <c r="D112" s="111"/>
      <c r="E112" s="111"/>
      <c r="F112" s="111"/>
      <c r="G112" s="111"/>
      <c r="H112" s="111"/>
      <c r="I112" s="44"/>
      <c r="J112" s="55"/>
      <c r="K112" s="42"/>
      <c r="L112" s="44">
        <f>SUM(BC54:BC98)</f>
        <v>0</v>
      </c>
    </row>
    <row r="113" spans="1:12" ht="14.25" hidden="1" x14ac:dyDescent="0.2">
      <c r="A113" s="55"/>
      <c r="B113" s="58"/>
      <c r="C113" s="111" t="s">
        <v>389</v>
      </c>
      <c r="D113" s="111"/>
      <c r="E113" s="111"/>
      <c r="F113" s="111"/>
      <c r="G113" s="111"/>
      <c r="H113" s="111"/>
      <c r="I113" s="44"/>
      <c r="J113" s="55"/>
      <c r="K113" s="42"/>
      <c r="L113" s="44">
        <f>SUM(BB54:BB98)</f>
        <v>0</v>
      </c>
    </row>
    <row r="114" spans="1:12" ht="14.25" x14ac:dyDescent="0.2">
      <c r="A114" s="55"/>
      <c r="B114" s="58"/>
      <c r="C114" s="111" t="s">
        <v>390</v>
      </c>
      <c r="D114" s="111"/>
      <c r="E114" s="111"/>
      <c r="F114" s="111"/>
      <c r="G114" s="111"/>
      <c r="H114" s="111"/>
      <c r="I114" s="44"/>
      <c r="J114" s="55"/>
      <c r="K114" s="42"/>
      <c r="L114" s="44">
        <f>SUM(AR54:AR98)+SUM(AT54:AT98)+SUM(AV54:AV98)</f>
        <v>6896.98</v>
      </c>
    </row>
    <row r="115" spans="1:12" ht="14.25" x14ac:dyDescent="0.2">
      <c r="A115" s="55"/>
      <c r="B115" s="58"/>
      <c r="C115" s="111" t="s">
        <v>391</v>
      </c>
      <c r="D115" s="111"/>
      <c r="E115" s="111"/>
      <c r="F115" s="111"/>
      <c r="G115" s="111"/>
      <c r="H115" s="111"/>
      <c r="I115" s="44"/>
      <c r="J115" s="55"/>
      <c r="K115" s="42"/>
      <c r="L115" s="44">
        <f>SUM(AZ54:AZ98)</f>
        <v>6690.0700000000006</v>
      </c>
    </row>
    <row r="116" spans="1:12" ht="14.25" x14ac:dyDescent="0.2">
      <c r="A116" s="55"/>
      <c r="B116" s="58"/>
      <c r="C116" s="111" t="s">
        <v>392</v>
      </c>
      <c r="D116" s="111"/>
      <c r="E116" s="111"/>
      <c r="F116" s="111"/>
      <c r="G116" s="111"/>
      <c r="H116" s="111"/>
      <c r="I116" s="44"/>
      <c r="J116" s="55"/>
      <c r="K116" s="42"/>
      <c r="L116" s="44">
        <f>SUM(BA54:BA98)</f>
        <v>3517.46</v>
      </c>
    </row>
    <row r="117" spans="1:12" ht="14.25" hidden="1" x14ac:dyDescent="0.2">
      <c r="A117" s="55"/>
      <c r="B117" s="58"/>
      <c r="C117" s="111" t="s">
        <v>393</v>
      </c>
      <c r="D117" s="111"/>
      <c r="E117" s="111"/>
      <c r="F117" s="111"/>
      <c r="G117" s="111"/>
      <c r="H117" s="111"/>
      <c r="I117" s="44"/>
      <c r="J117" s="55"/>
      <c r="K117" s="42"/>
      <c r="L117" s="44">
        <f>L119+L120</f>
        <v>0</v>
      </c>
    </row>
    <row r="118" spans="1:12" ht="14.25" hidden="1" x14ac:dyDescent="0.2">
      <c r="A118" s="55"/>
      <c r="B118" s="58"/>
      <c r="C118" s="110" t="s">
        <v>380</v>
      </c>
      <c r="D118" s="111"/>
      <c r="E118" s="111"/>
      <c r="F118" s="111"/>
      <c r="G118" s="111"/>
      <c r="H118" s="111"/>
      <c r="I118" s="44"/>
      <c r="J118" s="55"/>
      <c r="K118" s="42"/>
      <c r="L118" s="44"/>
    </row>
    <row r="119" spans="1:12" ht="14.25" hidden="1" x14ac:dyDescent="0.2">
      <c r="A119" s="55"/>
      <c r="B119" s="58"/>
      <c r="C119" s="111" t="s">
        <v>394</v>
      </c>
      <c r="D119" s="111"/>
      <c r="E119" s="111"/>
      <c r="F119" s="111"/>
      <c r="G119" s="111"/>
      <c r="H119" s="111"/>
      <c r="I119" s="44"/>
      <c r="J119" s="55"/>
      <c r="K119" s="42"/>
      <c r="L119" s="44">
        <f>SUM(BK54:BK98)</f>
        <v>0</v>
      </c>
    </row>
    <row r="120" spans="1:12" ht="14.25" hidden="1" x14ac:dyDescent="0.2">
      <c r="A120" s="55"/>
      <c r="B120" s="58"/>
      <c r="C120" s="111" t="s">
        <v>395</v>
      </c>
      <c r="D120" s="111"/>
      <c r="E120" s="111"/>
      <c r="F120" s="111"/>
      <c r="G120" s="111"/>
      <c r="H120" s="111"/>
      <c r="I120" s="44"/>
      <c r="J120" s="55"/>
      <c r="K120" s="42"/>
      <c r="L120" s="44">
        <f>SUM(BD54:BD98)</f>
        <v>0</v>
      </c>
    </row>
    <row r="121" spans="1:12" ht="14.25" hidden="1" x14ac:dyDescent="0.2">
      <c r="A121" s="55"/>
      <c r="B121" s="58"/>
      <c r="C121" s="111" t="s">
        <v>396</v>
      </c>
      <c r="D121" s="111"/>
      <c r="E121" s="111"/>
      <c r="F121" s="111"/>
      <c r="G121" s="111"/>
      <c r="H121" s="111"/>
      <c r="I121" s="44"/>
      <c r="J121" s="55"/>
      <c r="K121" s="42"/>
      <c r="L121" s="44"/>
    </row>
    <row r="122" spans="1:12" ht="14.25" hidden="1" x14ac:dyDescent="0.2">
      <c r="A122" s="55"/>
      <c r="B122" s="58"/>
      <c r="C122" s="111" t="s">
        <v>397</v>
      </c>
      <c r="D122" s="111"/>
      <c r="E122" s="111"/>
      <c r="F122" s="111"/>
      <c r="G122" s="111"/>
      <c r="H122" s="111"/>
      <c r="I122" s="44"/>
      <c r="J122" s="55"/>
      <c r="K122" s="42"/>
      <c r="L122" s="44">
        <f>SUM(BO54:BO98)</f>
        <v>0</v>
      </c>
    </row>
    <row r="123" spans="1:12" ht="15" x14ac:dyDescent="0.2">
      <c r="A123" s="59"/>
      <c r="B123" s="60"/>
      <c r="C123" s="112" t="s">
        <v>398</v>
      </c>
      <c r="D123" s="112"/>
      <c r="E123" s="112"/>
      <c r="F123" s="112"/>
      <c r="G123" s="112"/>
      <c r="H123" s="112"/>
      <c r="I123" s="47"/>
      <c r="J123" s="59"/>
      <c r="K123" s="61"/>
      <c r="L123" s="47">
        <f>L100+L115+L116+L117+L121+L122</f>
        <v>18332.54</v>
      </c>
    </row>
    <row r="124" spans="1:12" ht="14.25" x14ac:dyDescent="0.2">
      <c r="A124" s="55"/>
      <c r="B124" s="58"/>
      <c r="C124" s="110" t="s">
        <v>399</v>
      </c>
      <c r="D124" s="111"/>
      <c r="E124" s="111"/>
      <c r="F124" s="111"/>
      <c r="G124" s="111"/>
      <c r="H124" s="111"/>
      <c r="I124" s="44"/>
      <c r="J124" s="55"/>
      <c r="K124" s="42"/>
      <c r="L124" s="44"/>
    </row>
    <row r="125" spans="1:12" ht="14.25" hidden="1" x14ac:dyDescent="0.2">
      <c r="A125" s="55"/>
      <c r="B125" s="58"/>
      <c r="C125" s="111" t="s">
        <v>400</v>
      </c>
      <c r="D125" s="111"/>
      <c r="E125" s="111"/>
      <c r="F125" s="111"/>
      <c r="G125" s="111"/>
      <c r="H125" s="111"/>
      <c r="I125" s="44"/>
      <c r="J125" s="55"/>
      <c r="K125" s="42"/>
      <c r="L125" s="44">
        <f>SUM(AX54:AX98)</f>
        <v>0</v>
      </c>
    </row>
    <row r="126" spans="1:12" ht="14.25" hidden="1" x14ac:dyDescent="0.2">
      <c r="A126" s="55"/>
      <c r="B126" s="58"/>
      <c r="C126" s="111" t="s">
        <v>401</v>
      </c>
      <c r="D126" s="111"/>
      <c r="E126" s="111"/>
      <c r="F126" s="111"/>
      <c r="G126" s="111"/>
      <c r="H126" s="111"/>
      <c r="I126" s="44"/>
      <c r="J126" s="55"/>
      <c r="K126" s="42"/>
      <c r="L126" s="44">
        <f>SUM(AY54:AY98)</f>
        <v>0</v>
      </c>
    </row>
    <row r="127" spans="1:12" ht="14.25" x14ac:dyDescent="0.2">
      <c r="A127" s="55"/>
      <c r="B127" s="58"/>
      <c r="C127" s="111" t="s">
        <v>402</v>
      </c>
      <c r="D127" s="111"/>
      <c r="E127" s="111"/>
      <c r="F127" s="113"/>
      <c r="G127" s="46">
        <f>Source!F53</f>
        <v>14.347200000000001</v>
      </c>
      <c r="H127" s="55"/>
      <c r="I127" s="55"/>
      <c r="J127" s="55"/>
      <c r="K127" s="55"/>
      <c r="L127" s="55"/>
    </row>
    <row r="128" spans="1:12" ht="14.25" x14ac:dyDescent="0.2">
      <c r="A128" s="55"/>
      <c r="B128" s="58"/>
      <c r="C128" s="111" t="s">
        <v>403</v>
      </c>
      <c r="D128" s="111"/>
      <c r="E128" s="111"/>
      <c r="F128" s="113"/>
      <c r="G128" s="46">
        <f>Source!F54</f>
        <v>1.2911520000000001</v>
      </c>
      <c r="H128" s="55"/>
      <c r="I128" s="55"/>
      <c r="J128" s="55"/>
      <c r="K128" s="55"/>
      <c r="L128" s="55"/>
    </row>
    <row r="131" spans="1:83" ht="16.5" x14ac:dyDescent="0.2">
      <c r="A131" s="93" t="s">
        <v>405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</row>
    <row r="132" spans="1:83" ht="28.5" x14ac:dyDescent="0.2">
      <c r="A132" s="38" t="s">
        <v>93</v>
      </c>
      <c r="B132" s="40" t="s">
        <v>363</v>
      </c>
      <c r="C132" s="40" t="str">
        <f>Source!G65</f>
        <v>Камера сборных распределительных устройств: с ваккумным выключателем</v>
      </c>
      <c r="D132" s="41" t="str">
        <f>Source!H65</f>
        <v>ШТ</v>
      </c>
      <c r="E132" s="42">
        <f>Source!K65</f>
        <v>2</v>
      </c>
      <c r="F132" s="42"/>
      <c r="G132" s="42">
        <f>Source!I65</f>
        <v>2</v>
      </c>
      <c r="H132" s="44"/>
      <c r="I132" s="43"/>
      <c r="J132" s="44"/>
      <c r="K132" s="43"/>
      <c r="L132" s="44"/>
    </row>
    <row r="133" spans="1:83" ht="15" x14ac:dyDescent="0.2">
      <c r="A133" s="39"/>
      <c r="B133" s="42">
        <v>1</v>
      </c>
      <c r="C133" s="39" t="s">
        <v>365</v>
      </c>
      <c r="D133" s="41" t="s">
        <v>264</v>
      </c>
      <c r="E133" s="46"/>
      <c r="F133" s="42"/>
      <c r="G133" s="46">
        <f>Source!U65</f>
        <v>45.4</v>
      </c>
      <c r="H133" s="42"/>
      <c r="I133" s="42"/>
      <c r="J133" s="42"/>
      <c r="K133" s="42"/>
      <c r="L133" s="47">
        <f>SUM(L134:L134)-SUMIF(CE134:CE134, 1, L134:L134)</f>
        <v>19761.259999999998</v>
      </c>
    </row>
    <row r="134" spans="1:83" ht="28.5" x14ac:dyDescent="0.2">
      <c r="A134" s="40"/>
      <c r="B134" s="40" t="s">
        <v>262</v>
      </c>
      <c r="C134" s="40" t="s">
        <v>263</v>
      </c>
      <c r="D134" s="41" t="s">
        <v>264</v>
      </c>
      <c r="E134" s="42">
        <v>22.7</v>
      </c>
      <c r="F134" s="42"/>
      <c r="G134" s="42">
        <f>SmtRes!CX21</f>
        <v>45.4</v>
      </c>
      <c r="H134" s="44"/>
      <c r="I134" s="43"/>
      <c r="J134" s="44">
        <f>SmtRes!CZ21</f>
        <v>435.27</v>
      </c>
      <c r="K134" s="43"/>
      <c r="L134" s="44">
        <f>SmtRes!DI21</f>
        <v>19761.259999999998</v>
      </c>
    </row>
    <row r="135" spans="1:83" ht="15" x14ac:dyDescent="0.2">
      <c r="A135" s="39"/>
      <c r="B135" s="42">
        <v>2</v>
      </c>
      <c r="C135" s="39" t="s">
        <v>366</v>
      </c>
      <c r="D135" s="41"/>
      <c r="E135" s="46"/>
      <c r="F135" s="42"/>
      <c r="G135" s="46"/>
      <c r="H135" s="42"/>
      <c r="I135" s="42"/>
      <c r="J135" s="42"/>
      <c r="K135" s="42"/>
      <c r="L135" s="47">
        <f>SUM(L136:L140)-SUMIF(CE136:CE140, 1, L136:L140)</f>
        <v>4057.079999999999</v>
      </c>
    </row>
    <row r="136" spans="1:83" ht="15" x14ac:dyDescent="0.2">
      <c r="A136" s="39"/>
      <c r="B136" s="42"/>
      <c r="C136" s="39" t="s">
        <v>369</v>
      </c>
      <c r="D136" s="41" t="s">
        <v>264</v>
      </c>
      <c r="E136" s="46"/>
      <c r="F136" s="42"/>
      <c r="G136" s="46">
        <f>Source!V65</f>
        <v>4</v>
      </c>
      <c r="H136" s="42"/>
      <c r="I136" s="42"/>
      <c r="J136" s="42"/>
      <c r="K136" s="42"/>
      <c r="L136" s="47">
        <f>SUMIF(CE137:CE140, 1, L137:L140)</f>
        <v>2039.92</v>
      </c>
      <c r="CE136">
        <v>1</v>
      </c>
    </row>
    <row r="137" spans="1:83" ht="28.5" x14ac:dyDescent="0.2">
      <c r="A137" s="40"/>
      <c r="B137" s="40" t="s">
        <v>267</v>
      </c>
      <c r="C137" s="40" t="s">
        <v>269</v>
      </c>
      <c r="D137" s="41" t="s">
        <v>270</v>
      </c>
      <c r="E137" s="42">
        <v>1</v>
      </c>
      <c r="F137" s="42"/>
      <c r="G137" s="42">
        <f>SmtRes!CX23</f>
        <v>2</v>
      </c>
      <c r="H137" s="44"/>
      <c r="I137" s="43"/>
      <c r="J137" s="44">
        <f>SmtRes!CZ23</f>
        <v>1459.82</v>
      </c>
      <c r="K137" s="43"/>
      <c r="L137" s="44">
        <f>SmtRes!DG23</f>
        <v>2919.64</v>
      </c>
    </row>
    <row r="138" spans="1:83" ht="28.5" x14ac:dyDescent="0.2">
      <c r="A138" s="40"/>
      <c r="B138" s="40" t="s">
        <v>271</v>
      </c>
      <c r="C138" s="40" t="s">
        <v>367</v>
      </c>
      <c r="D138" s="41" t="s">
        <v>264</v>
      </c>
      <c r="E138" s="42">
        <f>SmtRes!DO23*SmtRes!AT23</f>
        <v>1</v>
      </c>
      <c r="F138" s="42"/>
      <c r="G138" s="42">
        <f>SmtRes!DO23*SmtRes!CX23</f>
        <v>2</v>
      </c>
      <c r="H138" s="44"/>
      <c r="I138" s="43"/>
      <c r="J138" s="44">
        <f>ROUND(SmtRes!AG23/SmtRes!DO23, 2)</f>
        <v>584.69000000000005</v>
      </c>
      <c r="K138" s="43"/>
      <c r="L138" s="44">
        <f>SmtRes!DH23</f>
        <v>1169.3800000000001</v>
      </c>
      <c r="CE138">
        <v>1</v>
      </c>
    </row>
    <row r="139" spans="1:83" ht="28.5" x14ac:dyDescent="0.2">
      <c r="A139" s="40"/>
      <c r="B139" s="40" t="s">
        <v>272</v>
      </c>
      <c r="C139" s="40" t="s">
        <v>274</v>
      </c>
      <c r="D139" s="41" t="s">
        <v>270</v>
      </c>
      <c r="E139" s="42">
        <v>1</v>
      </c>
      <c r="F139" s="42"/>
      <c r="G139" s="42">
        <f>SmtRes!CX24</f>
        <v>2</v>
      </c>
      <c r="H139" s="44">
        <f>SmtRes!CZ24</f>
        <v>477.92</v>
      </c>
      <c r="I139" s="43">
        <f>SmtRes!AJ24</f>
        <v>1.19</v>
      </c>
      <c r="J139" s="44">
        <f>ROUND(H139*I139, 2)</f>
        <v>568.72</v>
      </c>
      <c r="K139" s="43"/>
      <c r="L139" s="44">
        <f>SmtRes!DG24</f>
        <v>1137.44</v>
      </c>
    </row>
    <row r="140" spans="1:83" ht="28.5" x14ac:dyDescent="0.2">
      <c r="A140" s="40"/>
      <c r="B140" s="40" t="s">
        <v>275</v>
      </c>
      <c r="C140" s="40" t="s">
        <v>368</v>
      </c>
      <c r="D140" s="41" t="s">
        <v>264</v>
      </c>
      <c r="E140" s="42">
        <f>SmtRes!DO24*SmtRes!AT24</f>
        <v>1</v>
      </c>
      <c r="F140" s="42"/>
      <c r="G140" s="42">
        <f>SmtRes!DO24*SmtRes!CX24</f>
        <v>2</v>
      </c>
      <c r="H140" s="44"/>
      <c r="I140" s="43"/>
      <c r="J140" s="44">
        <f>ROUND(SmtRes!AG24/SmtRes!DO24, 2)</f>
        <v>435.27</v>
      </c>
      <c r="K140" s="43"/>
      <c r="L140" s="44">
        <f>SmtRes!DH24</f>
        <v>870.54</v>
      </c>
      <c r="CE140">
        <v>1</v>
      </c>
    </row>
    <row r="141" spans="1:83" ht="15" x14ac:dyDescent="0.2">
      <c r="A141" s="39"/>
      <c r="B141" s="42">
        <v>4</v>
      </c>
      <c r="C141" s="39" t="s">
        <v>370</v>
      </c>
      <c r="D141" s="41"/>
      <c r="E141" s="46"/>
      <c r="F141" s="42"/>
      <c r="G141" s="46"/>
      <c r="H141" s="42"/>
      <c r="I141" s="42"/>
      <c r="J141" s="42"/>
      <c r="K141" s="42"/>
      <c r="L141" s="47">
        <f>SUM(L142:L144)-SUMIF(CE142:CE144, 1, L142:L144)</f>
        <v>351.03</v>
      </c>
    </row>
    <row r="142" spans="1:83" ht="28.5" x14ac:dyDescent="0.2">
      <c r="A142" s="40"/>
      <c r="B142" s="40" t="s">
        <v>276</v>
      </c>
      <c r="C142" s="40" t="s">
        <v>278</v>
      </c>
      <c r="D142" s="41" t="s">
        <v>106</v>
      </c>
      <c r="E142" s="42">
        <v>0.42</v>
      </c>
      <c r="F142" s="42"/>
      <c r="G142" s="42">
        <f>SmtRes!CX25</f>
        <v>0.84</v>
      </c>
      <c r="H142" s="44">
        <f>SmtRes!CZ25</f>
        <v>174.93</v>
      </c>
      <c r="I142" s="43">
        <f>SmtRes!AI25</f>
        <v>1.1100000000000001</v>
      </c>
      <c r="J142" s="44">
        <f>ROUND(H142*I142, 2)</f>
        <v>194.17</v>
      </c>
      <c r="K142" s="43"/>
      <c r="L142" s="44">
        <f>SmtRes!DF25</f>
        <v>163.1</v>
      </c>
    </row>
    <row r="143" spans="1:83" ht="42.75" x14ac:dyDescent="0.2">
      <c r="A143" s="40"/>
      <c r="B143" s="40" t="s">
        <v>279</v>
      </c>
      <c r="C143" s="40" t="s">
        <v>281</v>
      </c>
      <c r="D143" s="41" t="s">
        <v>282</v>
      </c>
      <c r="E143" s="42">
        <v>1E-3</v>
      </c>
      <c r="F143" s="42"/>
      <c r="G143" s="42">
        <f>SmtRes!CX26</f>
        <v>2E-3</v>
      </c>
      <c r="H143" s="44">
        <f>SmtRes!CZ26</f>
        <v>70310.45</v>
      </c>
      <c r="I143" s="43">
        <f>SmtRes!AI26</f>
        <v>0.89</v>
      </c>
      <c r="J143" s="44">
        <f>ROUND(H143*I143, 2)</f>
        <v>62576.3</v>
      </c>
      <c r="K143" s="43"/>
      <c r="L143" s="44">
        <f>SmtRes!DF26</f>
        <v>125.15</v>
      </c>
    </row>
    <row r="144" spans="1:83" ht="28.5" x14ac:dyDescent="0.2">
      <c r="A144" s="40"/>
      <c r="B144" s="40" t="s">
        <v>283</v>
      </c>
      <c r="C144" s="48" t="s">
        <v>285</v>
      </c>
      <c r="D144" s="49" t="s">
        <v>106</v>
      </c>
      <c r="E144" s="50">
        <v>0.3</v>
      </c>
      <c r="F144" s="50"/>
      <c r="G144" s="50">
        <f>SmtRes!CX27</f>
        <v>0.6</v>
      </c>
      <c r="H144" s="51">
        <f>SmtRes!CZ27</f>
        <v>79.88</v>
      </c>
      <c r="I144" s="52">
        <f>SmtRes!AI27</f>
        <v>1.31</v>
      </c>
      <c r="J144" s="51">
        <f>ROUND(H144*I144, 2)</f>
        <v>104.64</v>
      </c>
      <c r="K144" s="52"/>
      <c r="L144" s="51">
        <f>SmtRes!DF27</f>
        <v>62.78</v>
      </c>
    </row>
    <row r="145" spans="1:83" ht="15" x14ac:dyDescent="0.2">
      <c r="A145" s="40"/>
      <c r="B145" s="40"/>
      <c r="C145" s="54" t="s">
        <v>371</v>
      </c>
      <c r="D145" s="41"/>
      <c r="E145" s="42"/>
      <c r="F145" s="42"/>
      <c r="G145" s="42"/>
      <c r="H145" s="44"/>
      <c r="I145" s="43"/>
      <c r="J145" s="44"/>
      <c r="K145" s="43"/>
      <c r="L145" s="44">
        <f>L133+L135+L136+L141</f>
        <v>26209.289999999994</v>
      </c>
    </row>
    <row r="146" spans="1:83" ht="14.25" x14ac:dyDescent="0.2">
      <c r="A146" s="40"/>
      <c r="B146" s="40"/>
      <c r="C146" s="40" t="s">
        <v>372</v>
      </c>
      <c r="D146" s="41"/>
      <c r="E146" s="42"/>
      <c r="F146" s="42"/>
      <c r="G146" s="42"/>
      <c r="H146" s="44"/>
      <c r="I146" s="43"/>
      <c r="J146" s="44"/>
      <c r="K146" s="43"/>
      <c r="L146" s="44">
        <f>SUM(AR132:AR149)+SUM(AS132:AS149)+SUM(AT132:AT149)+SUM(AU132:AU149)+SUM(AV132:AV149)</f>
        <v>21801.18</v>
      </c>
    </row>
    <row r="147" spans="1:83" ht="28.5" x14ac:dyDescent="0.2">
      <c r="A147" s="40"/>
      <c r="B147" s="40" t="s">
        <v>32</v>
      </c>
      <c r="C147" s="40" t="s">
        <v>373</v>
      </c>
      <c r="D147" s="41" t="s">
        <v>288</v>
      </c>
      <c r="E147" s="42">
        <f>Source!BZ65</f>
        <v>97</v>
      </c>
      <c r="F147" s="42"/>
      <c r="G147" s="42">
        <f>Source!AT65</f>
        <v>97</v>
      </c>
      <c r="H147" s="44"/>
      <c r="I147" s="43"/>
      <c r="J147" s="44"/>
      <c r="K147" s="43"/>
      <c r="L147" s="44">
        <f>SUM(AZ132:AZ149)</f>
        <v>21147.14</v>
      </c>
    </row>
    <row r="148" spans="1:83" ht="28.5" x14ac:dyDescent="0.2">
      <c r="A148" s="48"/>
      <c r="B148" s="48" t="s">
        <v>33</v>
      </c>
      <c r="C148" s="48" t="s">
        <v>374</v>
      </c>
      <c r="D148" s="49" t="s">
        <v>288</v>
      </c>
      <c r="E148" s="50">
        <f>Source!CA65</f>
        <v>51</v>
      </c>
      <c r="F148" s="50"/>
      <c r="G148" s="50">
        <f>Source!AU65</f>
        <v>51</v>
      </c>
      <c r="H148" s="51"/>
      <c r="I148" s="52"/>
      <c r="J148" s="51"/>
      <c r="K148" s="52"/>
      <c r="L148" s="51">
        <f>SUM(BA132:BA149)</f>
        <v>11118.6</v>
      </c>
    </row>
    <row r="149" spans="1:83" ht="15" x14ac:dyDescent="0.2">
      <c r="C149" s="94" t="s">
        <v>375</v>
      </c>
      <c r="D149" s="94"/>
      <c r="E149" s="94"/>
      <c r="F149" s="94"/>
      <c r="G149" s="94"/>
      <c r="H149" s="94"/>
      <c r="I149" s="95">
        <f>K149/E132</f>
        <v>29237.514999999996</v>
      </c>
      <c r="J149" s="95"/>
      <c r="K149" s="95">
        <f>L133+L135+L141+L147+L148+L136</f>
        <v>58475.029999999992</v>
      </c>
      <c r="L149" s="95"/>
      <c r="AD149">
        <f>ROUND((Source!AT65/100)*((ROUND(SUMIF(SmtRes!AQ21:'SmtRes'!AQ27,"=1",SmtRes!AD21:'SmtRes'!AD27)*Source!I65, 2)+ROUND(SUMIF(SmtRes!AQ21:'SmtRes'!AQ27,"=1",SmtRes!AC21:'SmtRes'!AC27)*Source!I65, 2))), 2)</f>
        <v>2823.15</v>
      </c>
      <c r="AE149">
        <f>ROUND((Source!AU65/100)*((ROUND(SUMIF(SmtRes!AQ21:'SmtRes'!AQ27,"=1",SmtRes!AD21:'SmtRes'!AD27)*Source!I65, 2)+ROUND(SUMIF(SmtRes!AQ21:'SmtRes'!AQ27,"=1",SmtRes!AC21:'SmtRes'!AC27)*Source!I65, 2))), 2)</f>
        <v>1484.33</v>
      </c>
      <c r="AN149" s="53">
        <f>L133+L135+L141+L147+L148+L136</f>
        <v>58475.029999999992</v>
      </c>
      <c r="AO149" s="53">
        <f>L135</f>
        <v>4057.079999999999</v>
      </c>
      <c r="AQ149" t="s">
        <v>376</v>
      </c>
      <c r="AR149" s="53">
        <f>L133</f>
        <v>19761.259999999998</v>
      </c>
      <c r="AT149" s="53">
        <f>L136</f>
        <v>2039.92</v>
      </c>
      <c r="AV149" t="s">
        <v>376</v>
      </c>
      <c r="AW149" s="53">
        <f>L141</f>
        <v>351.03</v>
      </c>
      <c r="AZ149">
        <f>Source!X65</f>
        <v>21147.14</v>
      </c>
      <c r="BA149">
        <f>Source!Y65</f>
        <v>11118.6</v>
      </c>
      <c r="CD149">
        <v>2</v>
      </c>
    </row>
    <row r="150" spans="1:83" ht="42.75" x14ac:dyDescent="0.2">
      <c r="A150" s="38" t="s">
        <v>95</v>
      </c>
      <c r="B150" s="40" t="s">
        <v>377</v>
      </c>
      <c r="C150" s="40" t="str">
        <f>Source!G66</f>
        <v>Шина ответвительная - одна полоса в фазе, медная или алюминиевая сечением: до 250 мм2</v>
      </c>
      <c r="D150" s="41" t="str">
        <f>Source!H66</f>
        <v>100 м</v>
      </c>
      <c r="E150" s="42">
        <f>Source!K66</f>
        <v>4.8000000000000001E-2</v>
      </c>
      <c r="F150" s="42"/>
      <c r="G150" s="42">
        <f>Source!I66</f>
        <v>4.8000000000000001E-2</v>
      </c>
      <c r="H150" s="44"/>
      <c r="I150" s="43"/>
      <c r="J150" s="44"/>
      <c r="K150" s="43"/>
      <c r="L150" s="44"/>
    </row>
    <row r="151" spans="1:83" x14ac:dyDescent="0.2">
      <c r="C151" s="57" t="str">
        <f>"Объем: "&amp;Source!I66&amp;"=4,8/"&amp;"100"</f>
        <v>Объем: 0,048=4,8/100</v>
      </c>
    </row>
    <row r="152" spans="1:83" ht="15" x14ac:dyDescent="0.2">
      <c r="A152" s="39"/>
      <c r="B152" s="42">
        <v>1</v>
      </c>
      <c r="C152" s="39" t="s">
        <v>365</v>
      </c>
      <c r="D152" s="41" t="s">
        <v>264</v>
      </c>
      <c r="E152" s="46"/>
      <c r="F152" s="42"/>
      <c r="G152" s="46">
        <f>Source!U66</f>
        <v>2.4239999999999999</v>
      </c>
      <c r="H152" s="42"/>
      <c r="I152" s="42"/>
      <c r="J152" s="42"/>
      <c r="K152" s="42"/>
      <c r="L152" s="47">
        <f>SUM(L153:L153)-SUMIF(CE153:CE153, 1, L153:L153)</f>
        <v>1055.0899999999999</v>
      </c>
    </row>
    <row r="153" spans="1:83" ht="28.5" x14ac:dyDescent="0.2">
      <c r="A153" s="40"/>
      <c r="B153" s="40" t="s">
        <v>262</v>
      </c>
      <c r="C153" s="40" t="s">
        <v>263</v>
      </c>
      <c r="D153" s="41" t="s">
        <v>264</v>
      </c>
      <c r="E153" s="42">
        <v>50.5</v>
      </c>
      <c r="F153" s="42"/>
      <c r="G153" s="42">
        <f>SmtRes!CX28</f>
        <v>2.4239999999999999</v>
      </c>
      <c r="H153" s="44"/>
      <c r="I153" s="43"/>
      <c r="J153" s="44">
        <f>SmtRes!CZ28</f>
        <v>435.27</v>
      </c>
      <c r="K153" s="43"/>
      <c r="L153" s="44">
        <f>SmtRes!DI28</f>
        <v>1055.0899999999999</v>
      </c>
    </row>
    <row r="154" spans="1:83" ht="15" x14ac:dyDescent="0.2">
      <c r="A154" s="39"/>
      <c r="B154" s="42">
        <v>2</v>
      </c>
      <c r="C154" s="39" t="s">
        <v>366</v>
      </c>
      <c r="D154" s="41"/>
      <c r="E154" s="46"/>
      <c r="F154" s="42"/>
      <c r="G154" s="46"/>
      <c r="H154" s="42"/>
      <c r="I154" s="42"/>
      <c r="J154" s="42"/>
      <c r="K154" s="42"/>
      <c r="L154" s="47">
        <f>SUM(L155:L162)-SUMIF(CE155:CE162, 1, L155:L162)</f>
        <v>36.370000000000005</v>
      </c>
    </row>
    <row r="155" spans="1:83" ht="15" x14ac:dyDescent="0.2">
      <c r="A155" s="39"/>
      <c r="B155" s="42"/>
      <c r="C155" s="39" t="s">
        <v>369</v>
      </c>
      <c r="D155" s="41" t="s">
        <v>264</v>
      </c>
      <c r="E155" s="46"/>
      <c r="F155" s="42"/>
      <c r="G155" s="46">
        <f>Source!V66</f>
        <v>0.30384</v>
      </c>
      <c r="H155" s="42"/>
      <c r="I155" s="42"/>
      <c r="J155" s="42"/>
      <c r="K155" s="42"/>
      <c r="L155" s="47">
        <f>SUMIF(CE156:CE162, 1, L156:L162)</f>
        <v>133.69</v>
      </c>
      <c r="CE155">
        <v>1</v>
      </c>
    </row>
    <row r="156" spans="1:83" ht="28.5" x14ac:dyDescent="0.2">
      <c r="A156" s="40"/>
      <c r="B156" s="40" t="s">
        <v>267</v>
      </c>
      <c r="C156" s="40" t="s">
        <v>269</v>
      </c>
      <c r="D156" s="41" t="s">
        <v>270</v>
      </c>
      <c r="E156" s="42">
        <v>0.2</v>
      </c>
      <c r="F156" s="42"/>
      <c r="G156" s="42">
        <f>SmtRes!CX30</f>
        <v>9.5999999999999992E-3</v>
      </c>
      <c r="H156" s="44"/>
      <c r="I156" s="43"/>
      <c r="J156" s="44">
        <f>SmtRes!CZ30</f>
        <v>1459.82</v>
      </c>
      <c r="K156" s="43"/>
      <c r="L156" s="44">
        <f>SmtRes!DG30</f>
        <v>14.01</v>
      </c>
    </row>
    <row r="157" spans="1:83" ht="28.5" x14ac:dyDescent="0.2">
      <c r="A157" s="40"/>
      <c r="B157" s="40" t="s">
        <v>271</v>
      </c>
      <c r="C157" s="40" t="s">
        <v>367</v>
      </c>
      <c r="D157" s="41" t="s">
        <v>264</v>
      </c>
      <c r="E157" s="42">
        <f>SmtRes!DO30*SmtRes!AT30</f>
        <v>0.2</v>
      </c>
      <c r="F157" s="42"/>
      <c r="G157" s="42">
        <f>SmtRes!DO30*SmtRes!CX30</f>
        <v>9.5999999999999992E-3</v>
      </c>
      <c r="H157" s="44"/>
      <c r="I157" s="43"/>
      <c r="J157" s="44">
        <f>ROUND(SmtRes!AG30/SmtRes!DO30, 2)</f>
        <v>584.69000000000005</v>
      </c>
      <c r="K157" s="43"/>
      <c r="L157" s="44">
        <f>SmtRes!DH30</f>
        <v>5.61</v>
      </c>
      <c r="CE157">
        <v>1</v>
      </c>
    </row>
    <row r="158" spans="1:83" ht="28.5" x14ac:dyDescent="0.2">
      <c r="A158" s="40"/>
      <c r="B158" s="40" t="s">
        <v>272</v>
      </c>
      <c r="C158" s="40" t="s">
        <v>274</v>
      </c>
      <c r="D158" s="41" t="s">
        <v>270</v>
      </c>
      <c r="E158" s="42">
        <v>0.2</v>
      </c>
      <c r="F158" s="42"/>
      <c r="G158" s="42">
        <f>SmtRes!CX31</f>
        <v>9.5999999999999992E-3</v>
      </c>
      <c r="H158" s="44">
        <f>SmtRes!CZ31</f>
        <v>477.92</v>
      </c>
      <c r="I158" s="43">
        <f>SmtRes!AJ31</f>
        <v>1.19</v>
      </c>
      <c r="J158" s="44">
        <f>ROUND(H158*I158, 2)</f>
        <v>568.72</v>
      </c>
      <c r="K158" s="43"/>
      <c r="L158" s="44">
        <f>SmtRes!DG31</f>
        <v>5.46</v>
      </c>
    </row>
    <row r="159" spans="1:83" ht="28.5" x14ac:dyDescent="0.2">
      <c r="A159" s="40"/>
      <c r="B159" s="40" t="s">
        <v>275</v>
      </c>
      <c r="C159" s="40" t="s">
        <v>368</v>
      </c>
      <c r="D159" s="41" t="s">
        <v>264</v>
      </c>
      <c r="E159" s="42">
        <f>SmtRes!DO31*SmtRes!AT31</f>
        <v>0.2</v>
      </c>
      <c r="F159" s="42"/>
      <c r="G159" s="42">
        <f>SmtRes!DO31*SmtRes!CX31</f>
        <v>9.5999999999999992E-3</v>
      </c>
      <c r="H159" s="44"/>
      <c r="I159" s="43"/>
      <c r="J159" s="44">
        <f>ROUND(SmtRes!AG31/SmtRes!DO31, 2)</f>
        <v>435.27</v>
      </c>
      <c r="K159" s="43"/>
      <c r="L159" s="44">
        <f>SmtRes!DH31</f>
        <v>4.18</v>
      </c>
      <c r="CE159">
        <v>1</v>
      </c>
    </row>
    <row r="160" spans="1:83" ht="42.75" x14ac:dyDescent="0.2">
      <c r="A160" s="40"/>
      <c r="B160" s="40" t="s">
        <v>289</v>
      </c>
      <c r="C160" s="40" t="s">
        <v>291</v>
      </c>
      <c r="D160" s="41" t="s">
        <v>270</v>
      </c>
      <c r="E160" s="42">
        <v>6.25</v>
      </c>
      <c r="F160" s="42"/>
      <c r="G160" s="42">
        <f>SmtRes!CX32</f>
        <v>0.3</v>
      </c>
      <c r="H160" s="44"/>
      <c r="I160" s="43"/>
      <c r="J160" s="44">
        <f>SmtRes!CZ32</f>
        <v>25.86</v>
      </c>
      <c r="K160" s="43"/>
      <c r="L160" s="44">
        <f>SmtRes!DG32</f>
        <v>7.76</v>
      </c>
    </row>
    <row r="161" spans="1:83" ht="28.5" x14ac:dyDescent="0.2">
      <c r="A161" s="40"/>
      <c r="B161" s="40" t="s">
        <v>292</v>
      </c>
      <c r="C161" s="40" t="s">
        <v>294</v>
      </c>
      <c r="D161" s="41" t="s">
        <v>270</v>
      </c>
      <c r="E161" s="42">
        <v>5.93</v>
      </c>
      <c r="F161" s="42"/>
      <c r="G161" s="42">
        <f>SmtRes!CX33</f>
        <v>0.28464</v>
      </c>
      <c r="H161" s="44">
        <f>SmtRes!CZ33</f>
        <v>26.76</v>
      </c>
      <c r="I161" s="43">
        <f>SmtRes!AJ33</f>
        <v>1.2</v>
      </c>
      <c r="J161" s="44">
        <f>ROUND(H161*I161, 2)</f>
        <v>32.11</v>
      </c>
      <c r="K161" s="43"/>
      <c r="L161" s="44">
        <f>SmtRes!DG33</f>
        <v>9.14</v>
      </c>
    </row>
    <row r="162" spans="1:83" ht="28.5" x14ac:dyDescent="0.2">
      <c r="A162" s="40"/>
      <c r="B162" s="40" t="s">
        <v>275</v>
      </c>
      <c r="C162" s="40" t="s">
        <v>368</v>
      </c>
      <c r="D162" s="41" t="s">
        <v>264</v>
      </c>
      <c r="E162" s="42">
        <f>SmtRes!DO33*SmtRes!AT33</f>
        <v>5.93</v>
      </c>
      <c r="F162" s="42"/>
      <c r="G162" s="42">
        <f>SmtRes!DO33*SmtRes!CX33</f>
        <v>0.28464</v>
      </c>
      <c r="H162" s="44"/>
      <c r="I162" s="43"/>
      <c r="J162" s="44">
        <f>ROUND(SmtRes!AG33/SmtRes!DO33, 2)</f>
        <v>435.27</v>
      </c>
      <c r="K162" s="43"/>
      <c r="L162" s="44">
        <f>SmtRes!DH33</f>
        <v>123.9</v>
      </c>
      <c r="CE162">
        <v>1</v>
      </c>
    </row>
    <row r="163" spans="1:83" ht="15" x14ac:dyDescent="0.2">
      <c r="A163" s="39"/>
      <c r="B163" s="42">
        <v>4</v>
      </c>
      <c r="C163" s="39" t="s">
        <v>370</v>
      </c>
      <c r="D163" s="41"/>
      <c r="E163" s="46"/>
      <c r="F163" s="42"/>
      <c r="G163" s="46"/>
      <c r="H163" s="42"/>
      <c r="I163" s="42"/>
      <c r="J163" s="42"/>
      <c r="K163" s="42"/>
      <c r="L163" s="47">
        <f>SUM(L164:L168)-SUMIF(CE164:CE168, 1, L164:L168)</f>
        <v>21.42</v>
      </c>
    </row>
    <row r="164" spans="1:83" ht="14.25" x14ac:dyDescent="0.2">
      <c r="A164" s="40"/>
      <c r="B164" s="40" t="s">
        <v>295</v>
      </c>
      <c r="C164" s="40" t="s">
        <v>297</v>
      </c>
      <c r="D164" s="41" t="s">
        <v>298</v>
      </c>
      <c r="E164" s="42">
        <v>0.44</v>
      </c>
      <c r="F164" s="42"/>
      <c r="G164" s="42">
        <f>SmtRes!CX34</f>
        <v>2.112E-2</v>
      </c>
      <c r="H164" s="44">
        <f>SmtRes!CZ34</f>
        <v>253.96</v>
      </c>
      <c r="I164" s="43">
        <f>SmtRes!AI34</f>
        <v>1.02</v>
      </c>
      <c r="J164" s="44">
        <f>ROUND(H164*I164, 2)</f>
        <v>259.04000000000002</v>
      </c>
      <c r="K164" s="43"/>
      <c r="L164" s="44">
        <f>SmtRes!DF34</f>
        <v>5.47</v>
      </c>
    </row>
    <row r="165" spans="1:83" ht="57" x14ac:dyDescent="0.2">
      <c r="A165" s="40"/>
      <c r="B165" s="40" t="s">
        <v>299</v>
      </c>
      <c r="C165" s="40" t="s">
        <v>301</v>
      </c>
      <c r="D165" s="41" t="s">
        <v>106</v>
      </c>
      <c r="E165" s="42">
        <v>0.03</v>
      </c>
      <c r="F165" s="42"/>
      <c r="G165" s="42">
        <f>SmtRes!CX35</f>
        <v>1.4400000000000001E-3</v>
      </c>
      <c r="H165" s="44">
        <f>SmtRes!CZ35</f>
        <v>155.63</v>
      </c>
      <c r="I165" s="43">
        <f>SmtRes!AI35</f>
        <v>0.95</v>
      </c>
      <c r="J165" s="44">
        <f>ROUND(H165*I165, 2)</f>
        <v>147.85</v>
      </c>
      <c r="K165" s="43"/>
      <c r="L165" s="44">
        <f>SmtRes!DF35</f>
        <v>0.21</v>
      </c>
    </row>
    <row r="166" spans="1:83" ht="57" x14ac:dyDescent="0.2">
      <c r="A166" s="40"/>
      <c r="B166" s="40" t="s">
        <v>302</v>
      </c>
      <c r="C166" s="40" t="s">
        <v>304</v>
      </c>
      <c r="D166" s="41" t="s">
        <v>282</v>
      </c>
      <c r="E166" s="42">
        <v>1.2999999999999999E-4</v>
      </c>
      <c r="F166" s="42"/>
      <c r="G166" s="42">
        <f>SmtRes!CX36</f>
        <v>6.1999999999999999E-6</v>
      </c>
      <c r="H166" s="44">
        <f>SmtRes!CZ36</f>
        <v>530491.82999999996</v>
      </c>
      <c r="I166" s="43">
        <f>SmtRes!AI36</f>
        <v>0.78</v>
      </c>
      <c r="J166" s="44">
        <f>ROUND(H166*I166, 2)</f>
        <v>413783.63</v>
      </c>
      <c r="K166" s="43"/>
      <c r="L166" s="44">
        <f>SmtRes!DF36</f>
        <v>2.57</v>
      </c>
    </row>
    <row r="167" spans="1:83" ht="28.5" x14ac:dyDescent="0.2">
      <c r="A167" s="40"/>
      <c r="B167" s="40" t="s">
        <v>305</v>
      </c>
      <c r="C167" s="40" t="s">
        <v>307</v>
      </c>
      <c r="D167" s="41" t="s">
        <v>282</v>
      </c>
      <c r="E167" s="42">
        <v>1.8000000000000001E-4</v>
      </c>
      <c r="F167" s="42"/>
      <c r="G167" s="42">
        <f>SmtRes!CX37</f>
        <v>8.6000000000000007E-6</v>
      </c>
      <c r="H167" s="44">
        <f>SmtRes!CZ37</f>
        <v>945143.92</v>
      </c>
      <c r="I167" s="43">
        <f>SmtRes!AI37</f>
        <v>0.78</v>
      </c>
      <c r="J167" s="44">
        <f>ROUND(H167*I167, 2)</f>
        <v>737212.26</v>
      </c>
      <c r="K167" s="43"/>
      <c r="L167" s="44">
        <f>SmtRes!DF37</f>
        <v>6.34</v>
      </c>
    </row>
    <row r="168" spans="1:83" ht="28.5" x14ac:dyDescent="0.2">
      <c r="A168" s="40"/>
      <c r="B168" s="40" t="s">
        <v>283</v>
      </c>
      <c r="C168" s="48" t="s">
        <v>285</v>
      </c>
      <c r="D168" s="49" t="s">
        <v>106</v>
      </c>
      <c r="E168" s="50">
        <v>1.36</v>
      </c>
      <c r="F168" s="50"/>
      <c r="G168" s="50">
        <f>SmtRes!CX38</f>
        <v>6.5280000000000005E-2</v>
      </c>
      <c r="H168" s="51">
        <f>SmtRes!CZ38</f>
        <v>79.88</v>
      </c>
      <c r="I168" s="52">
        <f>SmtRes!AI38</f>
        <v>1.31</v>
      </c>
      <c r="J168" s="51">
        <f>ROUND(H168*I168, 2)</f>
        <v>104.64</v>
      </c>
      <c r="K168" s="52"/>
      <c r="L168" s="51">
        <f>SmtRes!DF38</f>
        <v>6.83</v>
      </c>
    </row>
    <row r="169" spans="1:83" ht="15" x14ac:dyDescent="0.2">
      <c r="A169" s="40"/>
      <c r="B169" s="40"/>
      <c r="C169" s="54" t="s">
        <v>371</v>
      </c>
      <c r="D169" s="41"/>
      <c r="E169" s="42"/>
      <c r="F169" s="42"/>
      <c r="G169" s="42"/>
      <c r="H169" s="44"/>
      <c r="I169" s="43"/>
      <c r="J169" s="44"/>
      <c r="K169" s="43"/>
      <c r="L169" s="44">
        <f>L152+L154+L155+L163</f>
        <v>1246.5700000000002</v>
      </c>
    </row>
    <row r="170" spans="1:83" ht="14.25" x14ac:dyDescent="0.2">
      <c r="A170" s="40"/>
      <c r="B170" s="40"/>
      <c r="C170" s="40" t="s">
        <v>372</v>
      </c>
      <c r="D170" s="41"/>
      <c r="E170" s="42"/>
      <c r="F170" s="42"/>
      <c r="G170" s="42"/>
      <c r="H170" s="44"/>
      <c r="I170" s="43"/>
      <c r="J170" s="44"/>
      <c r="K170" s="43"/>
      <c r="L170" s="44">
        <f>SUM(AR150:AR173)+SUM(AS150:AS173)+SUM(AT150:AT173)+SUM(AU150:AU173)+SUM(AV150:AV173)</f>
        <v>1188.78</v>
      </c>
    </row>
    <row r="171" spans="1:83" ht="28.5" x14ac:dyDescent="0.2">
      <c r="A171" s="40"/>
      <c r="B171" s="40" t="s">
        <v>32</v>
      </c>
      <c r="C171" s="40" t="s">
        <v>373</v>
      </c>
      <c r="D171" s="41" t="s">
        <v>288</v>
      </c>
      <c r="E171" s="42">
        <f>Source!BZ66</f>
        <v>97</v>
      </c>
      <c r="F171" s="42"/>
      <c r="G171" s="42">
        <f>Source!AT66</f>
        <v>97</v>
      </c>
      <c r="H171" s="44"/>
      <c r="I171" s="43"/>
      <c r="J171" s="44"/>
      <c r="K171" s="43"/>
      <c r="L171" s="44">
        <f>SUM(AZ150:AZ173)</f>
        <v>1153.1199999999999</v>
      </c>
    </row>
    <row r="172" spans="1:83" ht="28.5" x14ac:dyDescent="0.2">
      <c r="A172" s="48"/>
      <c r="B172" s="48" t="s">
        <v>33</v>
      </c>
      <c r="C172" s="48" t="s">
        <v>374</v>
      </c>
      <c r="D172" s="49" t="s">
        <v>288</v>
      </c>
      <c r="E172" s="50">
        <f>Source!CA66</f>
        <v>51</v>
      </c>
      <c r="F172" s="50"/>
      <c r="G172" s="50">
        <f>Source!AU66</f>
        <v>51</v>
      </c>
      <c r="H172" s="51"/>
      <c r="I172" s="52"/>
      <c r="J172" s="51"/>
      <c r="K172" s="52"/>
      <c r="L172" s="51">
        <f>SUM(BA150:BA173)</f>
        <v>606.28</v>
      </c>
    </row>
    <row r="173" spans="1:83" ht="15" x14ac:dyDescent="0.2">
      <c r="C173" s="94" t="s">
        <v>375</v>
      </c>
      <c r="D173" s="94"/>
      <c r="E173" s="94"/>
      <c r="F173" s="94"/>
      <c r="G173" s="94"/>
      <c r="H173" s="94"/>
      <c r="I173" s="95">
        <f>K173/E150</f>
        <v>62624.374999999993</v>
      </c>
      <c r="J173" s="95"/>
      <c r="K173" s="95">
        <f>L152+L154+L163+L171+L172+L155</f>
        <v>3005.97</v>
      </c>
      <c r="L173" s="95"/>
      <c r="AD173">
        <f>ROUND((Source!AT66/100)*((ROUND(SUMIF(SmtRes!AQ28:'SmtRes'!AQ39,"=1",SmtRes!AD28:'SmtRes'!AD39)*Source!I66, 2)+ROUND(SUMIF(SmtRes!AQ28:'SmtRes'!AQ39,"=1",SmtRes!AC28:'SmtRes'!AC39)*Source!I66, 2))), 2)</f>
        <v>88.02</v>
      </c>
      <c r="AE173">
        <f>ROUND((Source!AU66/100)*((ROUND(SUMIF(SmtRes!AQ28:'SmtRes'!AQ39,"=1",SmtRes!AD28:'SmtRes'!AD39)*Source!I66, 2)+ROUND(SUMIF(SmtRes!AQ28:'SmtRes'!AQ39,"=1",SmtRes!AC28:'SmtRes'!AC39)*Source!I66, 2))), 2)</f>
        <v>46.28</v>
      </c>
      <c r="AN173" s="53">
        <f>L152+L154+L163+L171+L172+L155</f>
        <v>3005.97</v>
      </c>
      <c r="AO173" s="53">
        <f>L154</f>
        <v>36.370000000000005</v>
      </c>
      <c r="AQ173" t="s">
        <v>376</v>
      </c>
      <c r="AR173" s="53">
        <f>L152</f>
        <v>1055.0899999999999</v>
      </c>
      <c r="AT173" s="53">
        <f>L155</f>
        <v>133.69</v>
      </c>
      <c r="AV173" t="s">
        <v>376</v>
      </c>
      <c r="AW173" s="53">
        <f>L163</f>
        <v>21.42</v>
      </c>
      <c r="AZ173">
        <f>Source!X66</f>
        <v>1153.1199999999999</v>
      </c>
      <c r="BA173">
        <f>Source!Y66</f>
        <v>606.28</v>
      </c>
      <c r="CD173">
        <v>2</v>
      </c>
    </row>
    <row r="175" spans="1:83" ht="15" x14ac:dyDescent="0.2">
      <c r="A175" s="59"/>
      <c r="B175" s="60"/>
      <c r="C175" s="112" t="s">
        <v>379</v>
      </c>
      <c r="D175" s="112"/>
      <c r="E175" s="112"/>
      <c r="F175" s="112"/>
      <c r="G175" s="112"/>
      <c r="H175" s="112"/>
      <c r="I175" s="47"/>
      <c r="J175" s="59"/>
      <c r="K175" s="61"/>
      <c r="L175" s="47">
        <f>L177+L178+L184+L188</f>
        <v>27455.859999999997</v>
      </c>
    </row>
    <row r="176" spans="1:83" ht="14.25" x14ac:dyDescent="0.2">
      <c r="A176" s="55"/>
      <c r="B176" s="58"/>
      <c r="C176" s="110" t="s">
        <v>380</v>
      </c>
      <c r="D176" s="111"/>
      <c r="E176" s="111"/>
      <c r="F176" s="111"/>
      <c r="G176" s="111"/>
      <c r="H176" s="111"/>
      <c r="I176" s="44"/>
      <c r="J176" s="55"/>
      <c r="K176" s="42"/>
      <c r="L176" s="44"/>
    </row>
    <row r="177" spans="1:12" ht="14.25" x14ac:dyDescent="0.2">
      <c r="A177" s="55"/>
      <c r="B177" s="58"/>
      <c r="C177" s="111" t="s">
        <v>381</v>
      </c>
      <c r="D177" s="111"/>
      <c r="E177" s="111"/>
      <c r="F177" s="111"/>
      <c r="G177" s="111"/>
      <c r="H177" s="111"/>
      <c r="I177" s="44"/>
      <c r="J177" s="55"/>
      <c r="K177" s="42"/>
      <c r="L177" s="44">
        <f>SUM(AR131:AR173)</f>
        <v>20816.349999999999</v>
      </c>
    </row>
    <row r="178" spans="1:12" ht="14.25" hidden="1" x14ac:dyDescent="0.2">
      <c r="A178" s="55"/>
      <c r="B178" s="58"/>
      <c r="C178" s="111" t="s">
        <v>382</v>
      </c>
      <c r="D178" s="111"/>
      <c r="E178" s="111"/>
      <c r="F178" s="111"/>
      <c r="G178" s="111"/>
      <c r="H178" s="111"/>
      <c r="I178" s="44"/>
      <c r="J178" s="55"/>
      <c r="K178" s="42"/>
      <c r="L178" s="44">
        <f>L180+L183+L182</f>
        <v>6267.0599999999995</v>
      </c>
    </row>
    <row r="179" spans="1:12" ht="14.25" hidden="1" x14ac:dyDescent="0.2">
      <c r="A179" s="55"/>
      <c r="B179" s="58"/>
      <c r="C179" s="110" t="s">
        <v>383</v>
      </c>
      <c r="D179" s="111"/>
      <c r="E179" s="111"/>
      <c r="F179" s="111"/>
      <c r="G179" s="111"/>
      <c r="H179" s="111"/>
      <c r="I179" s="44"/>
      <c r="J179" s="55"/>
      <c r="K179" s="42"/>
      <c r="L179" s="44"/>
    </row>
    <row r="180" spans="1:12" ht="14.25" x14ac:dyDescent="0.2">
      <c r="A180" s="55"/>
      <c r="B180" s="58"/>
      <c r="C180" s="111" t="s">
        <v>382</v>
      </c>
      <c r="D180" s="111"/>
      <c r="E180" s="111"/>
      <c r="F180" s="111"/>
      <c r="G180" s="111"/>
      <c r="H180" s="111"/>
      <c r="I180" s="44"/>
      <c r="J180" s="55"/>
      <c r="K180" s="42"/>
      <c r="L180" s="44">
        <f>SUM(AO131:AO173)</f>
        <v>4093.4499999999989</v>
      </c>
    </row>
    <row r="181" spans="1:12" ht="14.25" hidden="1" x14ac:dyDescent="0.2">
      <c r="A181" s="55"/>
      <c r="B181" s="58"/>
      <c r="C181" s="110" t="s">
        <v>384</v>
      </c>
      <c r="D181" s="111"/>
      <c r="E181" s="111"/>
      <c r="F181" s="111"/>
      <c r="G181" s="111"/>
      <c r="H181" s="111"/>
      <c r="I181" s="44"/>
      <c r="J181" s="55"/>
      <c r="K181" s="42"/>
      <c r="L181" s="44"/>
    </row>
    <row r="182" spans="1:12" ht="14.25" x14ac:dyDescent="0.2">
      <c r="A182" s="55"/>
      <c r="B182" s="58"/>
      <c r="C182" s="111" t="s">
        <v>404</v>
      </c>
      <c r="D182" s="111"/>
      <c r="E182" s="111"/>
      <c r="F182" s="111"/>
      <c r="G182" s="111"/>
      <c r="H182" s="111"/>
      <c r="I182" s="44"/>
      <c r="J182" s="55"/>
      <c r="K182" s="42"/>
      <c r="L182" s="44">
        <f>SUM(AT131:AT173)</f>
        <v>2173.61</v>
      </c>
    </row>
    <row r="183" spans="1:12" ht="14.25" hidden="1" x14ac:dyDescent="0.2">
      <c r="A183" s="55"/>
      <c r="B183" s="58"/>
      <c r="C183" s="111" t="s">
        <v>385</v>
      </c>
      <c r="D183" s="111"/>
      <c r="E183" s="111"/>
      <c r="F183" s="111"/>
      <c r="G183" s="111"/>
      <c r="H183" s="111"/>
      <c r="I183" s="44"/>
      <c r="J183" s="55"/>
      <c r="K183" s="42"/>
      <c r="L183" s="44">
        <f>SUM(AV131:AV173)</f>
        <v>0</v>
      </c>
    </row>
    <row r="184" spans="1:12" ht="14.25" x14ac:dyDescent="0.2">
      <c r="A184" s="55"/>
      <c r="B184" s="58"/>
      <c r="C184" s="111" t="s">
        <v>386</v>
      </c>
      <c r="D184" s="111"/>
      <c r="E184" s="111"/>
      <c r="F184" s="111"/>
      <c r="G184" s="111"/>
      <c r="H184" s="111"/>
      <c r="I184" s="44"/>
      <c r="J184" s="55"/>
      <c r="K184" s="42"/>
      <c r="L184" s="44">
        <f>L186+L187</f>
        <v>372.45</v>
      </c>
    </row>
    <row r="185" spans="1:12" ht="14.25" x14ac:dyDescent="0.2">
      <c r="A185" s="55"/>
      <c r="B185" s="58"/>
      <c r="C185" s="110" t="s">
        <v>383</v>
      </c>
      <c r="D185" s="111"/>
      <c r="E185" s="111"/>
      <c r="F185" s="111"/>
      <c r="G185" s="111"/>
      <c r="H185" s="111"/>
      <c r="I185" s="44"/>
      <c r="J185" s="55"/>
      <c r="K185" s="42"/>
      <c r="L185" s="44"/>
    </row>
    <row r="186" spans="1:12" ht="14.25" x14ac:dyDescent="0.2">
      <c r="A186" s="55"/>
      <c r="B186" s="58"/>
      <c r="C186" s="111" t="s">
        <v>387</v>
      </c>
      <c r="D186" s="111"/>
      <c r="E186" s="111"/>
      <c r="F186" s="111"/>
      <c r="G186" s="111"/>
      <c r="H186" s="111"/>
      <c r="I186" s="44"/>
      <c r="J186" s="55"/>
      <c r="K186" s="42"/>
      <c r="L186" s="44">
        <f>SUM(AW131:AW173)-SUM(BK131:BK173)</f>
        <v>372.45</v>
      </c>
    </row>
    <row r="187" spans="1:12" ht="14.25" hidden="1" x14ac:dyDescent="0.2">
      <c r="A187" s="55"/>
      <c r="B187" s="58"/>
      <c r="C187" s="111" t="s">
        <v>388</v>
      </c>
      <c r="D187" s="111"/>
      <c r="E187" s="111"/>
      <c r="F187" s="111"/>
      <c r="G187" s="111"/>
      <c r="H187" s="111"/>
      <c r="I187" s="44"/>
      <c r="J187" s="55"/>
      <c r="K187" s="42"/>
      <c r="L187" s="44">
        <f>SUM(BC131:BC173)</f>
        <v>0</v>
      </c>
    </row>
    <row r="188" spans="1:12" ht="14.25" hidden="1" x14ac:dyDescent="0.2">
      <c r="A188" s="55"/>
      <c r="B188" s="58"/>
      <c r="C188" s="111" t="s">
        <v>389</v>
      </c>
      <c r="D188" s="111"/>
      <c r="E188" s="111"/>
      <c r="F188" s="111"/>
      <c r="G188" s="111"/>
      <c r="H188" s="111"/>
      <c r="I188" s="44"/>
      <c r="J188" s="55"/>
      <c r="K188" s="42"/>
      <c r="L188" s="44">
        <f>SUM(BB131:BB173)</f>
        <v>0</v>
      </c>
    </row>
    <row r="189" spans="1:12" ht="14.25" x14ac:dyDescent="0.2">
      <c r="A189" s="55"/>
      <c r="B189" s="58"/>
      <c r="C189" s="111" t="s">
        <v>390</v>
      </c>
      <c r="D189" s="111"/>
      <c r="E189" s="111"/>
      <c r="F189" s="111"/>
      <c r="G189" s="111"/>
      <c r="H189" s="111"/>
      <c r="I189" s="44"/>
      <c r="J189" s="55"/>
      <c r="K189" s="42"/>
      <c r="L189" s="44">
        <f>SUM(AR131:AR173)+SUM(AT131:AT173)+SUM(AV131:AV173)</f>
        <v>22989.96</v>
      </c>
    </row>
    <row r="190" spans="1:12" ht="14.25" x14ac:dyDescent="0.2">
      <c r="A190" s="55"/>
      <c r="B190" s="58"/>
      <c r="C190" s="111" t="s">
        <v>391</v>
      </c>
      <c r="D190" s="111"/>
      <c r="E190" s="111"/>
      <c r="F190" s="111"/>
      <c r="G190" s="111"/>
      <c r="H190" s="111"/>
      <c r="I190" s="44"/>
      <c r="J190" s="55"/>
      <c r="K190" s="42"/>
      <c r="L190" s="44">
        <f>SUM(AZ131:AZ173)</f>
        <v>22300.26</v>
      </c>
    </row>
    <row r="191" spans="1:12" ht="14.25" x14ac:dyDescent="0.2">
      <c r="A191" s="55"/>
      <c r="B191" s="58"/>
      <c r="C191" s="111" t="s">
        <v>392</v>
      </c>
      <c r="D191" s="111"/>
      <c r="E191" s="111"/>
      <c r="F191" s="111"/>
      <c r="G191" s="111"/>
      <c r="H191" s="111"/>
      <c r="I191" s="44"/>
      <c r="J191" s="55"/>
      <c r="K191" s="42"/>
      <c r="L191" s="44">
        <f>SUM(BA131:BA173)</f>
        <v>11724.880000000001</v>
      </c>
    </row>
    <row r="192" spans="1:12" ht="14.25" hidden="1" x14ac:dyDescent="0.2">
      <c r="A192" s="55"/>
      <c r="B192" s="58"/>
      <c r="C192" s="111" t="s">
        <v>393</v>
      </c>
      <c r="D192" s="111"/>
      <c r="E192" s="111"/>
      <c r="F192" s="111"/>
      <c r="G192" s="111"/>
      <c r="H192" s="111"/>
      <c r="I192" s="44"/>
      <c r="J192" s="55"/>
      <c r="K192" s="42"/>
      <c r="L192" s="44">
        <f>L194+L195</f>
        <v>0</v>
      </c>
    </row>
    <row r="193" spans="1:82" ht="14.25" hidden="1" x14ac:dyDescent="0.2">
      <c r="A193" s="55"/>
      <c r="B193" s="58"/>
      <c r="C193" s="110" t="s">
        <v>380</v>
      </c>
      <c r="D193" s="111"/>
      <c r="E193" s="111"/>
      <c r="F193" s="111"/>
      <c r="G193" s="111"/>
      <c r="H193" s="111"/>
      <c r="I193" s="44"/>
      <c r="J193" s="55"/>
      <c r="K193" s="42"/>
      <c r="L193" s="44"/>
    </row>
    <row r="194" spans="1:82" ht="14.25" hidden="1" x14ac:dyDescent="0.2">
      <c r="A194" s="55"/>
      <c r="B194" s="58"/>
      <c r="C194" s="111" t="s">
        <v>394</v>
      </c>
      <c r="D194" s="111"/>
      <c r="E194" s="111"/>
      <c r="F194" s="111"/>
      <c r="G194" s="111"/>
      <c r="H194" s="111"/>
      <c r="I194" s="44"/>
      <c r="J194" s="55"/>
      <c r="K194" s="42"/>
      <c r="L194" s="44">
        <f>SUM(BK131:BK173)</f>
        <v>0</v>
      </c>
    </row>
    <row r="195" spans="1:82" ht="14.25" hidden="1" x14ac:dyDescent="0.2">
      <c r="A195" s="55"/>
      <c r="B195" s="58"/>
      <c r="C195" s="111" t="s">
        <v>395</v>
      </c>
      <c r="D195" s="111"/>
      <c r="E195" s="111"/>
      <c r="F195" s="111"/>
      <c r="G195" s="111"/>
      <c r="H195" s="111"/>
      <c r="I195" s="44"/>
      <c r="J195" s="55"/>
      <c r="K195" s="42"/>
      <c r="L195" s="44">
        <f>SUM(BD131:BD173)</f>
        <v>0</v>
      </c>
    </row>
    <row r="196" spans="1:82" ht="14.25" hidden="1" x14ac:dyDescent="0.2">
      <c r="A196" s="55"/>
      <c r="B196" s="58"/>
      <c r="C196" s="111" t="s">
        <v>396</v>
      </c>
      <c r="D196" s="111"/>
      <c r="E196" s="111"/>
      <c r="F196" s="111"/>
      <c r="G196" s="111"/>
      <c r="H196" s="111"/>
      <c r="I196" s="44"/>
      <c r="J196" s="55"/>
      <c r="K196" s="42"/>
      <c r="L196" s="44"/>
    </row>
    <row r="197" spans="1:82" ht="14.25" hidden="1" x14ac:dyDescent="0.2">
      <c r="A197" s="55"/>
      <c r="B197" s="58"/>
      <c r="C197" s="111" t="s">
        <v>397</v>
      </c>
      <c r="D197" s="111"/>
      <c r="E197" s="111"/>
      <c r="F197" s="111"/>
      <c r="G197" s="111"/>
      <c r="H197" s="111"/>
      <c r="I197" s="44"/>
      <c r="J197" s="55"/>
      <c r="K197" s="42"/>
      <c r="L197" s="44">
        <f>SUM(BO131:BO173)</f>
        <v>0</v>
      </c>
    </row>
    <row r="198" spans="1:82" ht="15" x14ac:dyDescent="0.2">
      <c r="A198" s="59"/>
      <c r="B198" s="60"/>
      <c r="C198" s="112" t="s">
        <v>398</v>
      </c>
      <c r="D198" s="112"/>
      <c r="E198" s="112"/>
      <c r="F198" s="112"/>
      <c r="G198" s="112"/>
      <c r="H198" s="112"/>
      <c r="I198" s="47"/>
      <c r="J198" s="59"/>
      <c r="K198" s="61"/>
      <c r="L198" s="47">
        <f>L175+L190+L191+L192+L196+L197</f>
        <v>61481</v>
      </c>
    </row>
    <row r="199" spans="1:82" ht="14.25" x14ac:dyDescent="0.2">
      <c r="A199" s="55"/>
      <c r="B199" s="58"/>
      <c r="C199" s="110" t="s">
        <v>399</v>
      </c>
      <c r="D199" s="111"/>
      <c r="E199" s="111"/>
      <c r="F199" s="111"/>
      <c r="G199" s="111"/>
      <c r="H199" s="111"/>
      <c r="I199" s="44"/>
      <c r="J199" s="55"/>
      <c r="K199" s="42"/>
      <c r="L199" s="44"/>
    </row>
    <row r="200" spans="1:82" ht="14.25" hidden="1" x14ac:dyDescent="0.2">
      <c r="A200" s="55"/>
      <c r="B200" s="58"/>
      <c r="C200" s="111" t="s">
        <v>400</v>
      </c>
      <c r="D200" s="111"/>
      <c r="E200" s="111"/>
      <c r="F200" s="111"/>
      <c r="G200" s="111"/>
      <c r="H200" s="111"/>
      <c r="I200" s="44"/>
      <c r="J200" s="55"/>
      <c r="K200" s="42"/>
      <c r="L200" s="44">
        <f>SUM(AX131:AX173)</f>
        <v>0</v>
      </c>
    </row>
    <row r="201" spans="1:82" ht="14.25" hidden="1" x14ac:dyDescent="0.2">
      <c r="A201" s="55"/>
      <c r="B201" s="58"/>
      <c r="C201" s="111" t="s">
        <v>401</v>
      </c>
      <c r="D201" s="111"/>
      <c r="E201" s="111"/>
      <c r="F201" s="111"/>
      <c r="G201" s="111"/>
      <c r="H201" s="111"/>
      <c r="I201" s="44"/>
      <c r="J201" s="55"/>
      <c r="K201" s="42"/>
      <c r="L201" s="44">
        <f>SUM(AY131:AY173)</f>
        <v>0</v>
      </c>
    </row>
    <row r="202" spans="1:82" ht="14.25" x14ac:dyDescent="0.2">
      <c r="A202" s="55"/>
      <c r="B202" s="58"/>
      <c r="C202" s="111" t="s">
        <v>402</v>
      </c>
      <c r="D202" s="111"/>
      <c r="E202" s="111"/>
      <c r="F202" s="113"/>
      <c r="G202" s="46">
        <f>Source!F90</f>
        <v>47.823999999999998</v>
      </c>
      <c r="H202" s="55"/>
      <c r="I202" s="55"/>
      <c r="J202" s="55"/>
      <c r="K202" s="55"/>
      <c r="L202" s="55"/>
    </row>
    <row r="203" spans="1:82" ht="14.25" x14ac:dyDescent="0.2">
      <c r="A203" s="55"/>
      <c r="B203" s="58"/>
      <c r="C203" s="111" t="s">
        <v>403</v>
      </c>
      <c r="D203" s="111"/>
      <c r="E203" s="111"/>
      <c r="F203" s="113"/>
      <c r="G203" s="46">
        <f>Source!F91</f>
        <v>4.3038400000000001</v>
      </c>
      <c r="H203" s="55"/>
      <c r="I203" s="55"/>
      <c r="J203" s="55"/>
      <c r="K203" s="55"/>
      <c r="L203" s="55"/>
    </row>
    <row r="206" spans="1:82" ht="16.5" x14ac:dyDescent="0.2">
      <c r="A206" s="93" t="s">
        <v>406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</row>
    <row r="207" spans="1:82" ht="42.75" x14ac:dyDescent="0.2">
      <c r="A207" s="62" t="s">
        <v>97</v>
      </c>
      <c r="B207" s="48" t="str">
        <f>Source!F102</f>
        <v>Цена поставщика</v>
      </c>
      <c r="C207" s="48" t="s">
        <v>407</v>
      </c>
      <c r="D207" s="49" t="str">
        <f>Source!H102</f>
        <v>ШТ</v>
      </c>
      <c r="E207" s="50">
        <f>Source!K102</f>
        <v>2</v>
      </c>
      <c r="F207" s="50"/>
      <c r="G207" s="50">
        <f>Source!I102</f>
        <v>2</v>
      </c>
      <c r="H207" s="51"/>
      <c r="I207" s="52"/>
      <c r="J207" s="51">
        <f>Source!AL102</f>
        <v>803208.33</v>
      </c>
      <c r="K207" s="52"/>
      <c r="L207" s="51">
        <f>Source!HG102</f>
        <v>1606416.66</v>
      </c>
    </row>
    <row r="208" spans="1:82" ht="15" x14ac:dyDescent="0.2">
      <c r="C208" s="94" t="s">
        <v>375</v>
      </c>
      <c r="D208" s="94"/>
      <c r="E208" s="94"/>
      <c r="F208" s="94"/>
      <c r="G208" s="94"/>
      <c r="H208" s="94"/>
      <c r="I208" s="95">
        <f>K208/E207</f>
        <v>803208.33</v>
      </c>
      <c r="J208" s="95"/>
      <c r="K208" s="95">
        <f>L207</f>
        <v>1606416.66</v>
      </c>
      <c r="L208" s="95"/>
      <c r="AD208">
        <f>ROUND((Source!AT102/100)*((ROUND(ROUND(Source!AO102,2)*Source!I102, 2)+ROUND(ROUND(Source!AN102,2)*Source!I102, 2))), 2)</f>
        <v>0</v>
      </c>
      <c r="AE208">
        <f>ROUND((Source!AU102/100)*((ROUND(ROUND(Source!AO102,2)*Source!I102, 2)+ROUND(ROUND(Source!AN102,2)*Source!I102, 2))), 2)</f>
        <v>0</v>
      </c>
      <c r="AN208" s="53">
        <f>L207</f>
        <v>1606416.66</v>
      </c>
      <c r="AO208">
        <f>0</f>
        <v>0</v>
      </c>
      <c r="AQ208" t="s">
        <v>376</v>
      </c>
      <c r="AR208">
        <f>0</f>
        <v>0</v>
      </c>
      <c r="AT208">
        <f>0</f>
        <v>0</v>
      </c>
      <c r="AV208" t="s">
        <v>376</v>
      </c>
      <c r="AW208" s="53">
        <f>L207</f>
        <v>1606416.66</v>
      </c>
      <c r="AX208" s="53">
        <f>L207</f>
        <v>1606416.66</v>
      </c>
      <c r="AZ208">
        <f>Source!X102</f>
        <v>0</v>
      </c>
      <c r="BA208">
        <f>Source!Y102</f>
        <v>0</v>
      </c>
      <c r="CD208">
        <v>0</v>
      </c>
    </row>
    <row r="209" spans="1:82" ht="42.75" x14ac:dyDescent="0.2">
      <c r="A209" s="62" t="s">
        <v>103</v>
      </c>
      <c r="B209" s="48" t="str">
        <f>Source!F103</f>
        <v>20.5.03.03-0005</v>
      </c>
      <c r="C209" s="48" t="str">
        <f>Source!G103</f>
        <v>Шина электротехническая алюминиевая, марка АДЗ1, ширина 50 мм, толщина 5 мм</v>
      </c>
      <c r="D209" s="49" t="str">
        <f>Source!H103</f>
        <v>кг</v>
      </c>
      <c r="E209" s="50">
        <f>Source!K103</f>
        <v>3.2639999999999998</v>
      </c>
      <c r="F209" s="50"/>
      <c r="G209" s="50">
        <f>Source!I103</f>
        <v>3.2639999999999998</v>
      </c>
      <c r="H209" s="51">
        <f>Source!AL103</f>
        <v>272.42</v>
      </c>
      <c r="I209" s="52">
        <f>IF(Source!BC103&lt;&gt; 0, Source!BC103, 1)</f>
        <v>1.39</v>
      </c>
      <c r="J209" s="51">
        <f>ROUND(H209*I209, 2)</f>
        <v>378.66</v>
      </c>
      <c r="K209" s="52"/>
      <c r="L209" s="51">
        <f>Source!P103</f>
        <v>1235.95</v>
      </c>
    </row>
    <row r="210" spans="1:82" ht="15" x14ac:dyDescent="0.2">
      <c r="C210" s="94" t="s">
        <v>375</v>
      </c>
      <c r="D210" s="94"/>
      <c r="E210" s="94"/>
      <c r="F210" s="94"/>
      <c r="G210" s="94"/>
      <c r="H210" s="94"/>
      <c r="I210" s="95">
        <f>K210/E209</f>
        <v>378.66115196078437</v>
      </c>
      <c r="J210" s="95"/>
      <c r="K210" s="95">
        <f>L209</f>
        <v>1235.95</v>
      </c>
      <c r="L210" s="95"/>
      <c r="AD210">
        <f>ROUND((Source!AT103/100)*((ROUND(ROUND(Source!AO103,2)*Source!I103, 2)+ROUND(ROUND(Source!AN103,2)*Source!I103, 2))), 2)</f>
        <v>0</v>
      </c>
      <c r="AE210">
        <f>ROUND((Source!AU103/100)*((ROUND(ROUND(Source!AO103,2)*Source!I103, 2)+ROUND(ROUND(Source!AN103,2)*Source!I103, 2))), 2)</f>
        <v>0</v>
      </c>
      <c r="AN210" s="53">
        <f>L209</f>
        <v>1235.95</v>
      </c>
      <c r="AO210">
        <f>0</f>
        <v>0</v>
      </c>
      <c r="AQ210" t="s">
        <v>376</v>
      </c>
      <c r="AR210">
        <f>0</f>
        <v>0</v>
      </c>
      <c r="AT210">
        <f>0</f>
        <v>0</v>
      </c>
      <c r="AV210" t="s">
        <v>376</v>
      </c>
      <c r="AW210" s="53">
        <f>L209</f>
        <v>1235.95</v>
      </c>
      <c r="AZ210">
        <f>Source!X103</f>
        <v>0</v>
      </c>
      <c r="BA210">
        <f>Source!Y103</f>
        <v>0</v>
      </c>
      <c r="CD210">
        <v>2</v>
      </c>
    </row>
    <row r="212" spans="1:82" ht="15" x14ac:dyDescent="0.2">
      <c r="A212" s="59"/>
      <c r="B212" s="60"/>
      <c r="C212" s="112" t="s">
        <v>379</v>
      </c>
      <c r="D212" s="112"/>
      <c r="E212" s="112"/>
      <c r="F212" s="112"/>
      <c r="G212" s="112"/>
      <c r="H212" s="112"/>
      <c r="I212" s="47"/>
      <c r="J212" s="59"/>
      <c r="K212" s="61"/>
      <c r="L212" s="47">
        <f>L214+L215+L221+L225</f>
        <v>1607652.6099999999</v>
      </c>
    </row>
    <row r="213" spans="1:82" ht="14.25" x14ac:dyDescent="0.2">
      <c r="A213" s="55"/>
      <c r="B213" s="58"/>
      <c r="C213" s="110" t="s">
        <v>380</v>
      </c>
      <c r="D213" s="111"/>
      <c r="E213" s="111"/>
      <c r="F213" s="111"/>
      <c r="G213" s="111"/>
      <c r="H213" s="111"/>
      <c r="I213" s="44"/>
      <c r="J213" s="55"/>
      <c r="K213" s="42"/>
      <c r="L213" s="44"/>
    </row>
    <row r="214" spans="1:82" ht="14.25" hidden="1" x14ac:dyDescent="0.2">
      <c r="A214" s="55"/>
      <c r="B214" s="58"/>
      <c r="C214" s="111" t="s">
        <v>381</v>
      </c>
      <c r="D214" s="111"/>
      <c r="E214" s="111"/>
      <c r="F214" s="111"/>
      <c r="G214" s="111"/>
      <c r="H214" s="111"/>
      <c r="I214" s="44"/>
      <c r="J214" s="55"/>
      <c r="K214" s="42"/>
      <c r="L214" s="44">
        <f>SUM(AR206:AR210)</f>
        <v>0</v>
      </c>
    </row>
    <row r="215" spans="1:82" ht="14.25" hidden="1" x14ac:dyDescent="0.2">
      <c r="A215" s="55"/>
      <c r="B215" s="58"/>
      <c r="C215" s="111" t="s">
        <v>382</v>
      </c>
      <c r="D215" s="111"/>
      <c r="E215" s="111"/>
      <c r="F215" s="111"/>
      <c r="G215" s="111"/>
      <c r="H215" s="111"/>
      <c r="I215" s="44"/>
      <c r="J215" s="55"/>
      <c r="K215" s="42"/>
      <c r="L215" s="44">
        <f>L217+L220+L219</f>
        <v>0</v>
      </c>
    </row>
    <row r="216" spans="1:82" ht="14.25" hidden="1" x14ac:dyDescent="0.2">
      <c r="A216" s="55"/>
      <c r="B216" s="58"/>
      <c r="C216" s="110" t="s">
        <v>383</v>
      </c>
      <c r="D216" s="111"/>
      <c r="E216" s="111"/>
      <c r="F216" s="111"/>
      <c r="G216" s="111"/>
      <c r="H216" s="111"/>
      <c r="I216" s="44"/>
      <c r="J216" s="55"/>
      <c r="K216" s="42"/>
      <c r="L216" s="44"/>
    </row>
    <row r="217" spans="1:82" ht="14.25" hidden="1" x14ac:dyDescent="0.2">
      <c r="A217" s="55"/>
      <c r="B217" s="58"/>
      <c r="C217" s="111" t="s">
        <v>382</v>
      </c>
      <c r="D217" s="111"/>
      <c r="E217" s="111"/>
      <c r="F217" s="111"/>
      <c r="G217" s="111"/>
      <c r="H217" s="111"/>
      <c r="I217" s="44"/>
      <c r="J217" s="55"/>
      <c r="K217" s="42"/>
      <c r="L217" s="44">
        <f>SUM(AO206:AO210)</f>
        <v>0</v>
      </c>
    </row>
    <row r="218" spans="1:82" ht="14.25" hidden="1" x14ac:dyDescent="0.2">
      <c r="A218" s="55"/>
      <c r="B218" s="58"/>
      <c r="C218" s="110" t="s">
        <v>384</v>
      </c>
      <c r="D218" s="111"/>
      <c r="E218" s="111"/>
      <c r="F218" s="111"/>
      <c r="G218" s="111"/>
      <c r="H218" s="111"/>
      <c r="I218" s="44"/>
      <c r="J218" s="55"/>
      <c r="K218" s="42"/>
      <c r="L218" s="44"/>
    </row>
    <row r="219" spans="1:82" ht="14.25" hidden="1" x14ac:dyDescent="0.2">
      <c r="A219" s="55"/>
      <c r="B219" s="58"/>
      <c r="C219" s="111" t="s">
        <v>404</v>
      </c>
      <c r="D219" s="111"/>
      <c r="E219" s="111"/>
      <c r="F219" s="111"/>
      <c r="G219" s="111"/>
      <c r="H219" s="111"/>
      <c r="I219" s="44"/>
      <c r="J219" s="55"/>
      <c r="K219" s="42"/>
      <c r="L219" s="44">
        <f>SUM(AT206:AT210)</f>
        <v>0</v>
      </c>
    </row>
    <row r="220" spans="1:82" ht="14.25" hidden="1" x14ac:dyDescent="0.2">
      <c r="A220" s="55"/>
      <c r="B220" s="58"/>
      <c r="C220" s="111" t="s">
        <v>385</v>
      </c>
      <c r="D220" s="111"/>
      <c r="E220" s="111"/>
      <c r="F220" s="111"/>
      <c r="G220" s="111"/>
      <c r="H220" s="111"/>
      <c r="I220" s="44"/>
      <c r="J220" s="55"/>
      <c r="K220" s="42"/>
      <c r="L220" s="44">
        <f>SUM(AV206:AV210)</f>
        <v>0</v>
      </c>
    </row>
    <row r="221" spans="1:82" ht="14.25" x14ac:dyDescent="0.2">
      <c r="A221" s="55"/>
      <c r="B221" s="58"/>
      <c r="C221" s="111" t="s">
        <v>386</v>
      </c>
      <c r="D221" s="111"/>
      <c r="E221" s="111"/>
      <c r="F221" s="111"/>
      <c r="G221" s="111"/>
      <c r="H221" s="111"/>
      <c r="I221" s="44"/>
      <c r="J221" s="55"/>
      <c r="K221" s="42"/>
      <c r="L221" s="44">
        <f>L223+L224</f>
        <v>1607652.6099999999</v>
      </c>
    </row>
    <row r="222" spans="1:82" ht="14.25" x14ac:dyDescent="0.2">
      <c r="A222" s="55"/>
      <c r="B222" s="58"/>
      <c r="C222" s="110" t="s">
        <v>383</v>
      </c>
      <c r="D222" s="111"/>
      <c r="E222" s="111"/>
      <c r="F222" s="111"/>
      <c r="G222" s="111"/>
      <c r="H222" s="111"/>
      <c r="I222" s="44"/>
      <c r="J222" s="55"/>
      <c r="K222" s="42"/>
      <c r="L222" s="44"/>
    </row>
    <row r="223" spans="1:82" ht="14.25" x14ac:dyDescent="0.2">
      <c r="A223" s="55"/>
      <c r="B223" s="58"/>
      <c r="C223" s="111" t="s">
        <v>387</v>
      </c>
      <c r="D223" s="111"/>
      <c r="E223" s="111"/>
      <c r="F223" s="111"/>
      <c r="G223" s="111"/>
      <c r="H223" s="111"/>
      <c r="I223" s="44"/>
      <c r="J223" s="55"/>
      <c r="K223" s="42"/>
      <c r="L223" s="44">
        <f>SUM(AW206:AW210)-SUM(BK206:BK210)</f>
        <v>1607652.6099999999</v>
      </c>
    </row>
    <row r="224" spans="1:82" ht="14.25" hidden="1" x14ac:dyDescent="0.2">
      <c r="A224" s="55"/>
      <c r="B224" s="58"/>
      <c r="C224" s="111" t="s">
        <v>388</v>
      </c>
      <c r="D224" s="111"/>
      <c r="E224" s="111"/>
      <c r="F224" s="111"/>
      <c r="G224" s="111"/>
      <c r="H224" s="111"/>
      <c r="I224" s="44"/>
      <c r="J224" s="55"/>
      <c r="K224" s="42"/>
      <c r="L224" s="44">
        <f>SUM(BC206:BC210)</f>
        <v>0</v>
      </c>
    </row>
    <row r="225" spans="1:14" ht="14.25" hidden="1" x14ac:dyDescent="0.2">
      <c r="A225" s="55"/>
      <c r="B225" s="58"/>
      <c r="C225" s="111" t="s">
        <v>389</v>
      </c>
      <c r="D225" s="111"/>
      <c r="E225" s="111"/>
      <c r="F225" s="111"/>
      <c r="G225" s="111"/>
      <c r="H225" s="111"/>
      <c r="I225" s="44"/>
      <c r="J225" s="55"/>
      <c r="K225" s="42"/>
      <c r="L225" s="44">
        <f>SUM(BB206:BB210)</f>
        <v>0</v>
      </c>
    </row>
    <row r="226" spans="1:14" ht="14.25" hidden="1" x14ac:dyDescent="0.2">
      <c r="A226" s="55"/>
      <c r="B226" s="58"/>
      <c r="C226" s="111" t="s">
        <v>390</v>
      </c>
      <c r="D226" s="111"/>
      <c r="E226" s="111"/>
      <c r="F226" s="111"/>
      <c r="G226" s="111"/>
      <c r="H226" s="111"/>
      <c r="I226" s="44"/>
      <c r="J226" s="55"/>
      <c r="K226" s="42"/>
      <c r="L226" s="44">
        <f>SUM(AR206:AR210)+SUM(AT206:AT210)+SUM(AV206:AV210)</f>
        <v>0</v>
      </c>
    </row>
    <row r="227" spans="1:14" ht="14.25" hidden="1" x14ac:dyDescent="0.2">
      <c r="A227" s="55"/>
      <c r="B227" s="58"/>
      <c r="C227" s="111" t="s">
        <v>391</v>
      </c>
      <c r="D227" s="111"/>
      <c r="E227" s="111"/>
      <c r="F227" s="111"/>
      <c r="G227" s="111"/>
      <c r="H227" s="111"/>
      <c r="I227" s="44"/>
      <c r="J227" s="55"/>
      <c r="K227" s="42"/>
      <c r="L227" s="44">
        <f>SUM(AZ206:AZ210)</f>
        <v>0</v>
      </c>
    </row>
    <row r="228" spans="1:14" ht="14.25" hidden="1" x14ac:dyDescent="0.2">
      <c r="A228" s="55"/>
      <c r="B228" s="58"/>
      <c r="C228" s="111" t="s">
        <v>392</v>
      </c>
      <c r="D228" s="111"/>
      <c r="E228" s="111"/>
      <c r="F228" s="111"/>
      <c r="G228" s="111"/>
      <c r="H228" s="111"/>
      <c r="I228" s="44"/>
      <c r="J228" s="55"/>
      <c r="K228" s="42"/>
      <c r="L228" s="44">
        <f>SUM(BA206:BA210)</f>
        <v>0</v>
      </c>
    </row>
    <row r="229" spans="1:14" ht="14.25" hidden="1" x14ac:dyDescent="0.2">
      <c r="A229" s="55"/>
      <c r="B229" s="58"/>
      <c r="C229" s="111" t="s">
        <v>393</v>
      </c>
      <c r="D229" s="111"/>
      <c r="E229" s="111"/>
      <c r="F229" s="111"/>
      <c r="G229" s="111"/>
      <c r="H229" s="111"/>
      <c r="I229" s="44"/>
      <c r="J229" s="55"/>
      <c r="K229" s="42"/>
      <c r="L229" s="44">
        <f>L231+L232</f>
        <v>0</v>
      </c>
    </row>
    <row r="230" spans="1:14" ht="14.25" hidden="1" x14ac:dyDescent="0.2">
      <c r="A230" s="55"/>
      <c r="B230" s="58"/>
      <c r="C230" s="110" t="s">
        <v>380</v>
      </c>
      <c r="D230" s="111"/>
      <c r="E230" s="111"/>
      <c r="F230" s="111"/>
      <c r="G230" s="111"/>
      <c r="H230" s="111"/>
      <c r="I230" s="44"/>
      <c r="J230" s="55"/>
      <c r="K230" s="42"/>
      <c r="L230" s="44"/>
    </row>
    <row r="231" spans="1:14" ht="14.25" hidden="1" x14ac:dyDescent="0.2">
      <c r="A231" s="55"/>
      <c r="B231" s="58"/>
      <c r="C231" s="111" t="s">
        <v>394</v>
      </c>
      <c r="D231" s="111"/>
      <c r="E231" s="111"/>
      <c r="F231" s="111"/>
      <c r="G231" s="111"/>
      <c r="H231" s="111"/>
      <c r="I231" s="44"/>
      <c r="J231" s="55"/>
      <c r="K231" s="42"/>
      <c r="L231" s="44">
        <f>SUM(BK206:BK210)</f>
        <v>0</v>
      </c>
    </row>
    <row r="232" spans="1:14" ht="14.25" hidden="1" x14ac:dyDescent="0.2">
      <c r="A232" s="55"/>
      <c r="B232" s="58"/>
      <c r="C232" s="111" t="s">
        <v>395</v>
      </c>
      <c r="D232" s="111"/>
      <c r="E232" s="111"/>
      <c r="F232" s="111"/>
      <c r="G232" s="111"/>
      <c r="H232" s="111"/>
      <c r="I232" s="44"/>
      <c r="J232" s="55"/>
      <c r="K232" s="42"/>
      <c r="L232" s="44">
        <f>SUM(BD206:BD210)</f>
        <v>0</v>
      </c>
    </row>
    <row r="233" spans="1:14" ht="14.25" hidden="1" x14ac:dyDescent="0.2">
      <c r="A233" s="55"/>
      <c r="B233" s="58"/>
      <c r="C233" s="111" t="s">
        <v>396</v>
      </c>
      <c r="D233" s="111"/>
      <c r="E233" s="111"/>
      <c r="F233" s="111"/>
      <c r="G233" s="111"/>
      <c r="H233" s="111"/>
      <c r="I233" s="44"/>
      <c r="J233" s="55"/>
      <c r="K233" s="42"/>
      <c r="L233" s="44"/>
    </row>
    <row r="234" spans="1:14" ht="14.25" hidden="1" x14ac:dyDescent="0.2">
      <c r="A234" s="55"/>
      <c r="B234" s="58"/>
      <c r="C234" s="111" t="s">
        <v>397</v>
      </c>
      <c r="D234" s="111"/>
      <c r="E234" s="111"/>
      <c r="F234" s="111"/>
      <c r="G234" s="111"/>
      <c r="H234" s="111"/>
      <c r="I234" s="44"/>
      <c r="J234" s="55"/>
      <c r="K234" s="42"/>
      <c r="L234" s="44">
        <f>SUM(BO206:BO210)</f>
        <v>0</v>
      </c>
    </row>
    <row r="235" spans="1:14" ht="15" x14ac:dyDescent="0.2">
      <c r="A235" s="59"/>
      <c r="B235" s="60"/>
      <c r="C235" s="112" t="s">
        <v>398</v>
      </c>
      <c r="D235" s="112"/>
      <c r="E235" s="112"/>
      <c r="F235" s="112"/>
      <c r="G235" s="112"/>
      <c r="H235" s="112"/>
      <c r="I235" s="47"/>
      <c r="J235" s="59"/>
      <c r="K235" s="61"/>
      <c r="L235" s="47">
        <f>L212+L227+L228+L229+L233+L234</f>
        <v>1607652.6099999999</v>
      </c>
    </row>
    <row r="236" spans="1:14" ht="14.25" hidden="1" x14ac:dyDescent="0.2">
      <c r="A236" s="55"/>
      <c r="B236" s="58"/>
      <c r="C236" s="110" t="s">
        <v>399</v>
      </c>
      <c r="D236" s="111"/>
      <c r="E236" s="111"/>
      <c r="F236" s="111"/>
      <c r="G236" s="111"/>
      <c r="H236" s="111"/>
      <c r="I236" s="44"/>
      <c r="J236" s="55"/>
      <c r="K236" s="42"/>
      <c r="L236" s="44"/>
    </row>
    <row r="237" spans="1:14" ht="14.25" hidden="1" x14ac:dyDescent="0.2">
      <c r="A237" s="55"/>
      <c r="B237" s="58"/>
      <c r="C237" s="111" t="s">
        <v>400</v>
      </c>
      <c r="D237" s="111"/>
      <c r="E237" s="111"/>
      <c r="F237" s="111"/>
      <c r="G237" s="111"/>
      <c r="H237" s="111"/>
      <c r="I237" s="44"/>
      <c r="J237" s="55"/>
      <c r="K237" s="42"/>
      <c r="L237" s="44">
        <f>SUM(AX206:AX210)</f>
        <v>1606416.66</v>
      </c>
      <c r="N237" s="77"/>
    </row>
    <row r="238" spans="1:14" ht="14.25" hidden="1" x14ac:dyDescent="0.2">
      <c r="A238" s="55"/>
      <c r="B238" s="58"/>
      <c r="C238" s="111" t="s">
        <v>401</v>
      </c>
      <c r="D238" s="111"/>
      <c r="E238" s="111"/>
      <c r="F238" s="111"/>
      <c r="G238" s="111"/>
      <c r="H238" s="111"/>
      <c r="I238" s="44"/>
      <c r="J238" s="55"/>
      <c r="K238" s="42"/>
      <c r="L238" s="44">
        <f>SUM(AY206:AY210)</f>
        <v>0</v>
      </c>
    </row>
    <row r="239" spans="1:14" ht="14.25" hidden="1" customHeight="1" x14ac:dyDescent="0.2">
      <c r="A239" s="55"/>
      <c r="B239" s="58"/>
      <c r="C239" s="111" t="s">
        <v>402</v>
      </c>
      <c r="D239" s="111"/>
      <c r="E239" s="111"/>
      <c r="F239" s="113"/>
      <c r="G239" s="46">
        <f>Source!F127</f>
        <v>0</v>
      </c>
      <c r="H239" s="55"/>
      <c r="I239" s="55"/>
      <c r="J239" s="55"/>
      <c r="K239" s="55"/>
      <c r="L239" s="55"/>
    </row>
    <row r="240" spans="1:14" ht="14.25" hidden="1" customHeight="1" x14ac:dyDescent="0.2">
      <c r="A240" s="55"/>
      <c r="B240" s="58"/>
      <c r="C240" s="111" t="s">
        <v>403</v>
      </c>
      <c r="D240" s="111"/>
      <c r="E240" s="111"/>
      <c r="F240" s="113"/>
      <c r="G240" s="46">
        <f>Source!F128</f>
        <v>0</v>
      </c>
      <c r="H240" s="55"/>
      <c r="I240" s="55"/>
      <c r="J240" s="55"/>
      <c r="K240" s="55"/>
      <c r="L240" s="55"/>
    </row>
    <row r="241" spans="1:82" hidden="1" x14ac:dyDescent="0.2"/>
    <row r="242" spans="1:82" hidden="1" x14ac:dyDescent="0.2"/>
    <row r="243" spans="1:82" ht="16.5" x14ac:dyDescent="0.2">
      <c r="A243" s="93" t="s">
        <v>408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</row>
    <row r="244" spans="1:82" ht="42.75" x14ac:dyDescent="0.2">
      <c r="A244" s="38" t="s">
        <v>112</v>
      </c>
      <c r="B244" s="40" t="s">
        <v>409</v>
      </c>
      <c r="C244" s="40" t="str">
        <f>Source!G139</f>
        <v>Фазировка электрической линии или трансформатора с сетью напряжением: свыше 1 кВ</v>
      </c>
      <c r="D244" s="41" t="str">
        <f>Source!H139</f>
        <v>ШТ</v>
      </c>
      <c r="E244" s="42">
        <f>Source!K139</f>
        <v>2</v>
      </c>
      <c r="F244" s="42"/>
      <c r="G244" s="42">
        <f>Source!I139</f>
        <v>2</v>
      </c>
      <c r="H244" s="44"/>
      <c r="I244" s="43"/>
      <c r="J244" s="44"/>
      <c r="K244" s="43"/>
      <c r="L244" s="44"/>
    </row>
    <row r="245" spans="1:82" ht="15" x14ac:dyDescent="0.2">
      <c r="A245" s="39"/>
      <c r="B245" s="42">
        <v>1</v>
      </c>
      <c r="C245" s="39" t="s">
        <v>365</v>
      </c>
      <c r="D245" s="41" t="s">
        <v>264</v>
      </c>
      <c r="E245" s="46"/>
      <c r="F245" s="42"/>
      <c r="G245" s="46">
        <f>Source!U139</f>
        <v>3.24</v>
      </c>
      <c r="H245" s="42"/>
      <c r="I245" s="42"/>
      <c r="J245" s="42"/>
      <c r="K245" s="42"/>
      <c r="L245" s="47">
        <f>SUM(L246:L247)-SUMIF(CE246:CE247, 1, L246:L247)</f>
        <v>1873.35</v>
      </c>
    </row>
    <row r="246" spans="1:82" ht="14.25" x14ac:dyDescent="0.2">
      <c r="A246" s="40"/>
      <c r="B246" s="40" t="s">
        <v>309</v>
      </c>
      <c r="C246" s="40" t="s">
        <v>310</v>
      </c>
      <c r="D246" s="41" t="s">
        <v>311</v>
      </c>
      <c r="E246" s="42">
        <v>0.81</v>
      </c>
      <c r="F246" s="42"/>
      <c r="G246" s="42">
        <f>SmtRes!CX40</f>
        <v>1.62</v>
      </c>
      <c r="H246" s="44"/>
      <c r="I246" s="43"/>
      <c r="J246" s="44">
        <f>SmtRes!CZ40</f>
        <v>584.69000000000005</v>
      </c>
      <c r="K246" s="43"/>
      <c r="L246" s="44">
        <f>SmtRes!DI40</f>
        <v>947.2</v>
      </c>
    </row>
    <row r="247" spans="1:82" ht="14.25" x14ac:dyDescent="0.2">
      <c r="A247" s="40"/>
      <c r="B247" s="40" t="s">
        <v>312</v>
      </c>
      <c r="C247" s="48" t="s">
        <v>313</v>
      </c>
      <c r="D247" s="49" t="s">
        <v>311</v>
      </c>
      <c r="E247" s="50">
        <v>0.81</v>
      </c>
      <c r="F247" s="50"/>
      <c r="G247" s="50">
        <f>SmtRes!CX41</f>
        <v>1.62</v>
      </c>
      <c r="H247" s="51"/>
      <c r="I247" s="52"/>
      <c r="J247" s="51">
        <f>SmtRes!CZ41</f>
        <v>571.70000000000005</v>
      </c>
      <c r="K247" s="52"/>
      <c r="L247" s="51">
        <f>SmtRes!DI41</f>
        <v>926.15</v>
      </c>
    </row>
    <row r="248" spans="1:82" ht="15" x14ac:dyDescent="0.2">
      <c r="A248" s="40"/>
      <c r="B248" s="40"/>
      <c r="C248" s="54" t="s">
        <v>371</v>
      </c>
      <c r="D248" s="41"/>
      <c r="E248" s="42"/>
      <c r="F248" s="42"/>
      <c r="G248" s="42"/>
      <c r="H248" s="44"/>
      <c r="I248" s="43"/>
      <c r="J248" s="44"/>
      <c r="K248" s="43"/>
      <c r="L248" s="44">
        <f>L245</f>
        <v>1873.35</v>
      </c>
    </row>
    <row r="249" spans="1:82" ht="14.25" x14ac:dyDescent="0.2">
      <c r="A249" s="40"/>
      <c r="B249" s="40"/>
      <c r="C249" s="40" t="s">
        <v>372</v>
      </c>
      <c r="D249" s="41"/>
      <c r="E249" s="42"/>
      <c r="F249" s="42"/>
      <c r="G249" s="42"/>
      <c r="H249" s="44"/>
      <c r="I249" s="43"/>
      <c r="J249" s="44"/>
      <c r="K249" s="43"/>
      <c r="L249" s="44">
        <f>SUM(AR244:AR252)+SUM(AS244:AS252)+SUM(AT244:AT252)+SUM(AU244:AU252)+SUM(AV244:AV252)</f>
        <v>1873.35</v>
      </c>
    </row>
    <row r="250" spans="1:82" ht="14.25" x14ac:dyDescent="0.2">
      <c r="A250" s="40"/>
      <c r="B250" s="40" t="s">
        <v>118</v>
      </c>
      <c r="C250" s="40" t="s">
        <v>410</v>
      </c>
      <c r="D250" s="41" t="s">
        <v>288</v>
      </c>
      <c r="E250" s="42">
        <f>Source!BZ139</f>
        <v>74</v>
      </c>
      <c r="F250" s="42"/>
      <c r="G250" s="42">
        <f>Source!AT139</f>
        <v>74</v>
      </c>
      <c r="H250" s="44"/>
      <c r="I250" s="43"/>
      <c r="J250" s="44"/>
      <c r="K250" s="43"/>
      <c r="L250" s="44">
        <f>SUM(AZ244:AZ252)</f>
        <v>1386.28</v>
      </c>
    </row>
    <row r="251" spans="1:82" ht="14.25" x14ac:dyDescent="0.2">
      <c r="A251" s="48"/>
      <c r="B251" s="48" t="s">
        <v>119</v>
      </c>
      <c r="C251" s="48" t="s">
        <v>411</v>
      </c>
      <c r="D251" s="49" t="s">
        <v>288</v>
      </c>
      <c r="E251" s="50">
        <f>Source!CA139</f>
        <v>36</v>
      </c>
      <c r="F251" s="50"/>
      <c r="G251" s="50">
        <f>Source!AU139</f>
        <v>36</v>
      </c>
      <c r="H251" s="51"/>
      <c r="I251" s="52"/>
      <c r="J251" s="51"/>
      <c r="K251" s="52"/>
      <c r="L251" s="51">
        <f>SUM(BA244:BA252)</f>
        <v>674.41</v>
      </c>
    </row>
    <row r="252" spans="1:82" ht="15" x14ac:dyDescent="0.2">
      <c r="C252" s="94" t="s">
        <v>375</v>
      </c>
      <c r="D252" s="94"/>
      <c r="E252" s="94"/>
      <c r="F252" s="94"/>
      <c r="G252" s="94"/>
      <c r="H252" s="94"/>
      <c r="I252" s="95">
        <f>K252/E244</f>
        <v>1967.02</v>
      </c>
      <c r="J252" s="95"/>
      <c r="K252" s="95">
        <f>L245+L250+L251</f>
        <v>3934.04</v>
      </c>
      <c r="L252" s="95"/>
      <c r="AD252">
        <f>ROUND((Source!AT139/100)*((ROUND(SUMIF(SmtRes!AQ40:'SmtRes'!AQ41,"=1",SmtRes!AD40:'SmtRes'!AD41)*Source!I139, 2)+ROUND(SUMIF(SmtRes!AQ40:'SmtRes'!AQ41,"=1",SmtRes!AC40:'SmtRes'!AC41)*Source!I139, 2))), 2)</f>
        <v>1711.46</v>
      </c>
      <c r="AE252">
        <f>ROUND((Source!AU139/100)*((ROUND(SUMIF(SmtRes!AQ40:'SmtRes'!AQ41,"=1",SmtRes!AD40:'SmtRes'!AD41)*Source!I139, 2)+ROUND(SUMIF(SmtRes!AQ40:'SmtRes'!AQ41,"=1",SmtRes!AC40:'SmtRes'!AC41)*Source!I139, 2))), 2)</f>
        <v>832.6</v>
      </c>
      <c r="AN252" s="53">
        <f>L245+L250+L251</f>
        <v>3934.04</v>
      </c>
      <c r="AO252">
        <f>0</f>
        <v>0</v>
      </c>
      <c r="AQ252" t="s">
        <v>376</v>
      </c>
      <c r="AR252" s="53">
        <f>L245</f>
        <v>1873.35</v>
      </c>
      <c r="AT252">
        <f>0</f>
        <v>0</v>
      </c>
      <c r="AV252" t="s">
        <v>376</v>
      </c>
      <c r="AW252">
        <f>0</f>
        <v>0</v>
      </c>
      <c r="AZ252">
        <f>Source!X139</f>
        <v>1386.28</v>
      </c>
      <c r="BA252">
        <f>Source!Y139</f>
        <v>674.41</v>
      </c>
      <c r="BR252" s="53">
        <f>K252</f>
        <v>3934.04</v>
      </c>
      <c r="BU252">
        <f>ROUND(K252*80/100, 2)</f>
        <v>3147.23</v>
      </c>
      <c r="BV252" s="53">
        <f>K252-BU252</f>
        <v>786.81</v>
      </c>
      <c r="CB252">
        <f>Source!BM139</f>
        <v>200001</v>
      </c>
      <c r="CC252" t="str">
        <f>Source!E139</f>
        <v>7</v>
      </c>
      <c r="CD252">
        <v>4</v>
      </c>
    </row>
    <row r="253" spans="1:82" ht="57" x14ac:dyDescent="0.2">
      <c r="A253" s="38" t="s">
        <v>120</v>
      </c>
      <c r="B253" s="40" t="s">
        <v>412</v>
      </c>
      <c r="C253" s="40" t="str">
        <f>Source!G140</f>
        <v>Выключатель: автоматический с электромагнитным дутьем или вакуумный и элегазовый напряжением до 11 кВ</v>
      </c>
      <c r="D253" s="41" t="str">
        <f>Source!H140</f>
        <v>ШТ</v>
      </c>
      <c r="E253" s="42">
        <f>Source!K140</f>
        <v>2</v>
      </c>
      <c r="F253" s="42"/>
      <c r="G253" s="42">
        <f>Source!I140</f>
        <v>2</v>
      </c>
      <c r="H253" s="44"/>
      <c r="I253" s="43"/>
      <c r="J253" s="44"/>
      <c r="K253" s="43"/>
      <c r="L253" s="44"/>
    </row>
    <row r="254" spans="1:82" ht="15" x14ac:dyDescent="0.2">
      <c r="A254" s="39"/>
      <c r="B254" s="42">
        <v>1</v>
      </c>
      <c r="C254" s="39" t="s">
        <v>365</v>
      </c>
      <c r="D254" s="41" t="s">
        <v>264</v>
      </c>
      <c r="E254" s="46"/>
      <c r="F254" s="42"/>
      <c r="G254" s="46">
        <f>Source!U140</f>
        <v>43.2</v>
      </c>
      <c r="H254" s="42"/>
      <c r="I254" s="42"/>
      <c r="J254" s="42"/>
      <c r="K254" s="42"/>
      <c r="L254" s="47">
        <f>SUM(L255:L257)-SUMIF(CE255:CE257, 1, L255:L257)</f>
        <v>23855.56</v>
      </c>
    </row>
    <row r="255" spans="1:82" ht="14.25" x14ac:dyDescent="0.2">
      <c r="A255" s="40"/>
      <c r="B255" s="40" t="s">
        <v>314</v>
      </c>
      <c r="C255" s="40" t="s">
        <v>315</v>
      </c>
      <c r="D255" s="41" t="s">
        <v>311</v>
      </c>
      <c r="E255" s="42">
        <v>4.32</v>
      </c>
      <c r="F255" s="42"/>
      <c r="G255" s="42">
        <f>SmtRes!CX42</f>
        <v>8.64</v>
      </c>
      <c r="H255" s="44"/>
      <c r="I255" s="43"/>
      <c r="J255" s="44">
        <f>SmtRes!CZ42</f>
        <v>435.27</v>
      </c>
      <c r="K255" s="43"/>
      <c r="L255" s="44">
        <f>SmtRes!DI42</f>
        <v>3760.73</v>
      </c>
    </row>
    <row r="256" spans="1:82" ht="14.25" x14ac:dyDescent="0.2">
      <c r="A256" s="40"/>
      <c r="B256" s="40" t="s">
        <v>316</v>
      </c>
      <c r="C256" s="40" t="s">
        <v>317</v>
      </c>
      <c r="D256" s="41" t="s">
        <v>311</v>
      </c>
      <c r="E256" s="42">
        <v>4.32</v>
      </c>
      <c r="F256" s="42"/>
      <c r="G256" s="42">
        <f>SmtRes!CX43</f>
        <v>8.64</v>
      </c>
      <c r="H256" s="44"/>
      <c r="I256" s="43"/>
      <c r="J256" s="44">
        <f>SmtRes!CZ43</f>
        <v>415.78</v>
      </c>
      <c r="K256" s="43"/>
      <c r="L256" s="44">
        <f>SmtRes!DI43</f>
        <v>3592.34</v>
      </c>
    </row>
    <row r="257" spans="1:82" ht="14.25" x14ac:dyDescent="0.2">
      <c r="A257" s="40"/>
      <c r="B257" s="40" t="s">
        <v>318</v>
      </c>
      <c r="C257" s="48" t="s">
        <v>319</v>
      </c>
      <c r="D257" s="49" t="s">
        <v>311</v>
      </c>
      <c r="E257" s="50">
        <v>12.96</v>
      </c>
      <c r="F257" s="50"/>
      <c r="G257" s="50">
        <f>SmtRes!CX44</f>
        <v>25.92</v>
      </c>
      <c r="H257" s="51"/>
      <c r="I257" s="52"/>
      <c r="J257" s="51">
        <f>SmtRes!CZ44</f>
        <v>636.66999999999996</v>
      </c>
      <c r="K257" s="52"/>
      <c r="L257" s="51">
        <f>SmtRes!DI44</f>
        <v>16502.490000000002</v>
      </c>
    </row>
    <row r="258" spans="1:82" ht="15" x14ac:dyDescent="0.2">
      <c r="A258" s="40"/>
      <c r="B258" s="40"/>
      <c r="C258" s="54" t="s">
        <v>371</v>
      </c>
      <c r="D258" s="41"/>
      <c r="E258" s="42"/>
      <c r="F258" s="42"/>
      <c r="G258" s="42"/>
      <c r="H258" s="44"/>
      <c r="I258" s="43"/>
      <c r="J258" s="44"/>
      <c r="K258" s="43"/>
      <c r="L258" s="44">
        <f>L254</f>
        <v>23855.56</v>
      </c>
    </row>
    <row r="259" spans="1:82" ht="14.25" x14ac:dyDescent="0.2">
      <c r="A259" s="40"/>
      <c r="B259" s="40"/>
      <c r="C259" s="40" t="s">
        <v>372</v>
      </c>
      <c r="D259" s="41"/>
      <c r="E259" s="42"/>
      <c r="F259" s="42"/>
      <c r="G259" s="42"/>
      <c r="H259" s="44"/>
      <c r="I259" s="43"/>
      <c r="J259" s="44"/>
      <c r="K259" s="43"/>
      <c r="L259" s="44">
        <f>SUM(AR253:AR262)+SUM(AS253:AS262)+SUM(AT253:AT262)+SUM(AU253:AU262)+SUM(AV253:AV262)</f>
        <v>23855.56</v>
      </c>
    </row>
    <row r="260" spans="1:82" ht="14.25" x14ac:dyDescent="0.2">
      <c r="A260" s="40"/>
      <c r="B260" s="40" t="s">
        <v>118</v>
      </c>
      <c r="C260" s="40" t="s">
        <v>410</v>
      </c>
      <c r="D260" s="41" t="s">
        <v>288</v>
      </c>
      <c r="E260" s="42">
        <f>Source!BZ140</f>
        <v>74</v>
      </c>
      <c r="F260" s="42"/>
      <c r="G260" s="42">
        <f>Source!AT140</f>
        <v>74</v>
      </c>
      <c r="H260" s="44"/>
      <c r="I260" s="43"/>
      <c r="J260" s="44"/>
      <c r="K260" s="43"/>
      <c r="L260" s="44">
        <f>SUM(AZ253:AZ262)</f>
        <v>17653.11</v>
      </c>
    </row>
    <row r="261" spans="1:82" ht="14.25" x14ac:dyDescent="0.2">
      <c r="A261" s="48"/>
      <c r="B261" s="48" t="s">
        <v>119</v>
      </c>
      <c r="C261" s="48" t="s">
        <v>411</v>
      </c>
      <c r="D261" s="49" t="s">
        <v>288</v>
      </c>
      <c r="E261" s="50">
        <f>Source!CA140</f>
        <v>36</v>
      </c>
      <c r="F261" s="50"/>
      <c r="G261" s="50">
        <f>Source!AU140</f>
        <v>36</v>
      </c>
      <c r="H261" s="51"/>
      <c r="I261" s="52"/>
      <c r="J261" s="51"/>
      <c r="K261" s="52"/>
      <c r="L261" s="51">
        <f>SUM(BA253:BA262)</f>
        <v>8588</v>
      </c>
    </row>
    <row r="262" spans="1:82" ht="15" x14ac:dyDescent="0.2">
      <c r="C262" s="94" t="s">
        <v>375</v>
      </c>
      <c r="D262" s="94"/>
      <c r="E262" s="94"/>
      <c r="F262" s="94"/>
      <c r="G262" s="94"/>
      <c r="H262" s="94"/>
      <c r="I262" s="95">
        <f>K262/E253</f>
        <v>25048.334999999999</v>
      </c>
      <c r="J262" s="95"/>
      <c r="K262" s="95">
        <f>L254+L260+L261</f>
        <v>50096.67</v>
      </c>
      <c r="L262" s="95"/>
      <c r="AD262">
        <f>ROUND((Source!AT140/100)*((ROUND(SUMIF(SmtRes!AQ42:'SmtRes'!AQ44,"=1",SmtRes!AD42:'SmtRes'!AD44)*Source!I140, 2)+ROUND(SUMIF(SmtRes!AQ42:'SmtRes'!AQ44,"=1",SmtRes!AC42:'SmtRes'!AC44)*Source!I140, 2))), 2)</f>
        <v>2201.83</v>
      </c>
      <c r="AE262">
        <f>ROUND((Source!AU140/100)*((ROUND(SUMIF(SmtRes!AQ42:'SmtRes'!AQ44,"=1",SmtRes!AD42:'SmtRes'!AD44)*Source!I140, 2)+ROUND(SUMIF(SmtRes!AQ42:'SmtRes'!AQ44,"=1",SmtRes!AC42:'SmtRes'!AC44)*Source!I140, 2))), 2)</f>
        <v>1071.1600000000001</v>
      </c>
      <c r="AN262" s="53">
        <f>L254+L260+L261</f>
        <v>50096.67</v>
      </c>
      <c r="AO262">
        <f>0</f>
        <v>0</v>
      </c>
      <c r="AQ262" t="s">
        <v>376</v>
      </c>
      <c r="AR262" s="53">
        <f>L254</f>
        <v>23855.56</v>
      </c>
      <c r="AT262">
        <f>0</f>
        <v>0</v>
      </c>
      <c r="AV262" t="s">
        <v>376</v>
      </c>
      <c r="AW262">
        <f>0</f>
        <v>0</v>
      </c>
      <c r="AZ262">
        <f>Source!X140</f>
        <v>17653.11</v>
      </c>
      <c r="BA262">
        <f>Source!Y140</f>
        <v>8588</v>
      </c>
      <c r="BR262" s="53">
        <f>K262</f>
        <v>50096.67</v>
      </c>
      <c r="BU262">
        <f>ROUND(K262*80/100, 2)</f>
        <v>40077.339999999997</v>
      </c>
      <c r="BV262" s="53">
        <f>K262-BU262</f>
        <v>10019.330000000002</v>
      </c>
      <c r="CB262">
        <f>Source!BM140</f>
        <v>200001</v>
      </c>
      <c r="CC262" t="str">
        <f>Source!E140</f>
        <v>8</v>
      </c>
      <c r="CD262">
        <v>4</v>
      </c>
    </row>
    <row r="263" spans="1:82" ht="28.5" x14ac:dyDescent="0.2">
      <c r="A263" s="38" t="s">
        <v>124</v>
      </c>
      <c r="B263" s="40" t="s">
        <v>413</v>
      </c>
      <c r="C263" s="40" t="str">
        <f>Source!G141</f>
        <v>Разъединитель трехполюсный напряжением: до 20 кВ</v>
      </c>
      <c r="D263" s="41" t="str">
        <f>Source!H141</f>
        <v>ШТ</v>
      </c>
      <c r="E263" s="42">
        <f>Source!K141</f>
        <v>6</v>
      </c>
      <c r="F263" s="42"/>
      <c r="G263" s="42">
        <f>Source!I141</f>
        <v>6</v>
      </c>
      <c r="H263" s="44"/>
      <c r="I263" s="43"/>
      <c r="J263" s="44"/>
      <c r="K263" s="43"/>
      <c r="L263" s="44"/>
    </row>
    <row r="264" spans="1:82" ht="15" x14ac:dyDescent="0.2">
      <c r="A264" s="39"/>
      <c r="B264" s="42">
        <v>1</v>
      </c>
      <c r="C264" s="39" t="s">
        <v>365</v>
      </c>
      <c r="D264" s="41" t="s">
        <v>264</v>
      </c>
      <c r="E264" s="46"/>
      <c r="F264" s="42"/>
      <c r="G264" s="46">
        <f>Source!U141</f>
        <v>32.400000000000006</v>
      </c>
      <c r="H264" s="42"/>
      <c r="I264" s="42"/>
      <c r="J264" s="42"/>
      <c r="K264" s="42"/>
      <c r="L264" s="47">
        <f>SUM(L265:L267)-SUMIF(CE265:CE267, 1, L265:L267)</f>
        <v>17891.66</v>
      </c>
    </row>
    <row r="265" spans="1:82" ht="14.25" x14ac:dyDescent="0.2">
      <c r="A265" s="40"/>
      <c r="B265" s="40" t="s">
        <v>314</v>
      </c>
      <c r="C265" s="40" t="s">
        <v>315</v>
      </c>
      <c r="D265" s="41" t="s">
        <v>311</v>
      </c>
      <c r="E265" s="42">
        <v>1.08</v>
      </c>
      <c r="F265" s="42"/>
      <c r="G265" s="42">
        <f>SmtRes!CX45</f>
        <v>6.48</v>
      </c>
      <c r="H265" s="44"/>
      <c r="I265" s="43"/>
      <c r="J265" s="44">
        <f>SmtRes!CZ45</f>
        <v>435.27</v>
      </c>
      <c r="K265" s="43"/>
      <c r="L265" s="44">
        <f>SmtRes!DI45</f>
        <v>2820.55</v>
      </c>
    </row>
    <row r="266" spans="1:82" ht="14.25" x14ac:dyDescent="0.2">
      <c r="A266" s="40"/>
      <c r="B266" s="40" t="s">
        <v>316</v>
      </c>
      <c r="C266" s="40" t="s">
        <v>317</v>
      </c>
      <c r="D266" s="41" t="s">
        <v>311</v>
      </c>
      <c r="E266" s="42">
        <v>1.08</v>
      </c>
      <c r="F266" s="42"/>
      <c r="G266" s="42">
        <f>SmtRes!CX46</f>
        <v>6.48</v>
      </c>
      <c r="H266" s="44"/>
      <c r="I266" s="43"/>
      <c r="J266" s="44">
        <f>SmtRes!CZ46</f>
        <v>415.78</v>
      </c>
      <c r="K266" s="43"/>
      <c r="L266" s="44">
        <f>SmtRes!DI46</f>
        <v>2694.25</v>
      </c>
    </row>
    <row r="267" spans="1:82" ht="14.25" x14ac:dyDescent="0.2">
      <c r="A267" s="40"/>
      <c r="B267" s="40" t="s">
        <v>318</v>
      </c>
      <c r="C267" s="48" t="s">
        <v>319</v>
      </c>
      <c r="D267" s="49" t="s">
        <v>311</v>
      </c>
      <c r="E267" s="50">
        <v>3.24</v>
      </c>
      <c r="F267" s="50"/>
      <c r="G267" s="50">
        <f>SmtRes!CX47</f>
        <v>19.440000000000001</v>
      </c>
      <c r="H267" s="51"/>
      <c r="I267" s="52"/>
      <c r="J267" s="51">
        <f>SmtRes!CZ47</f>
        <v>636.66999999999996</v>
      </c>
      <c r="K267" s="52"/>
      <c r="L267" s="51">
        <f>SmtRes!DI47</f>
        <v>12376.86</v>
      </c>
    </row>
    <row r="268" spans="1:82" ht="15" x14ac:dyDescent="0.2">
      <c r="A268" s="40"/>
      <c r="B268" s="40"/>
      <c r="C268" s="54" t="s">
        <v>371</v>
      </c>
      <c r="D268" s="41"/>
      <c r="E268" s="42"/>
      <c r="F268" s="42"/>
      <c r="G268" s="42"/>
      <c r="H268" s="44"/>
      <c r="I268" s="43"/>
      <c r="J268" s="44"/>
      <c r="K268" s="43"/>
      <c r="L268" s="44">
        <f>L264</f>
        <v>17891.66</v>
      </c>
    </row>
    <row r="269" spans="1:82" ht="14.25" x14ac:dyDescent="0.2">
      <c r="A269" s="40"/>
      <c r="B269" s="40"/>
      <c r="C269" s="40" t="s">
        <v>372</v>
      </c>
      <c r="D269" s="41"/>
      <c r="E269" s="42"/>
      <c r="F269" s="42"/>
      <c r="G269" s="42"/>
      <c r="H269" s="44"/>
      <c r="I269" s="43"/>
      <c r="J269" s="44"/>
      <c r="K269" s="43"/>
      <c r="L269" s="44">
        <f>SUM(AR263:AR272)+SUM(AS263:AS272)+SUM(AT263:AT272)+SUM(AU263:AU272)+SUM(AV263:AV272)</f>
        <v>17891.66</v>
      </c>
    </row>
    <row r="270" spans="1:82" ht="14.25" x14ac:dyDescent="0.2">
      <c r="A270" s="40"/>
      <c r="B270" s="40" t="s">
        <v>118</v>
      </c>
      <c r="C270" s="40" t="s">
        <v>410</v>
      </c>
      <c r="D270" s="41" t="s">
        <v>288</v>
      </c>
      <c r="E270" s="42">
        <f>Source!BZ141</f>
        <v>74</v>
      </c>
      <c r="F270" s="42"/>
      <c r="G270" s="42">
        <f>Source!AT141</f>
        <v>74</v>
      </c>
      <c r="H270" s="44"/>
      <c r="I270" s="43"/>
      <c r="J270" s="44"/>
      <c r="K270" s="43"/>
      <c r="L270" s="44">
        <f>SUM(AZ263:AZ272)</f>
        <v>13239.83</v>
      </c>
    </row>
    <row r="271" spans="1:82" ht="14.25" x14ac:dyDescent="0.2">
      <c r="A271" s="48"/>
      <c r="B271" s="48" t="s">
        <v>119</v>
      </c>
      <c r="C271" s="48" t="s">
        <v>411</v>
      </c>
      <c r="D271" s="49" t="s">
        <v>288</v>
      </c>
      <c r="E271" s="50">
        <f>Source!CA141</f>
        <v>36</v>
      </c>
      <c r="F271" s="50"/>
      <c r="G271" s="50">
        <f>Source!AU141</f>
        <v>36</v>
      </c>
      <c r="H271" s="51"/>
      <c r="I271" s="52"/>
      <c r="J271" s="51"/>
      <c r="K271" s="52"/>
      <c r="L271" s="51">
        <f>SUM(BA263:BA272)</f>
        <v>6441</v>
      </c>
    </row>
    <row r="272" spans="1:82" ht="15" x14ac:dyDescent="0.2">
      <c r="C272" s="94" t="s">
        <v>375</v>
      </c>
      <c r="D272" s="94"/>
      <c r="E272" s="94"/>
      <c r="F272" s="94"/>
      <c r="G272" s="94"/>
      <c r="H272" s="94"/>
      <c r="I272" s="95">
        <f>K272/E263</f>
        <v>6262.081666666666</v>
      </c>
      <c r="J272" s="95"/>
      <c r="K272" s="95">
        <f>L264+L270+L271</f>
        <v>37572.49</v>
      </c>
      <c r="L272" s="95"/>
      <c r="AD272">
        <f>ROUND((Source!AT141/100)*((ROUND(SUMIF(SmtRes!AQ45:'SmtRes'!AQ47,"=1",SmtRes!AD45:'SmtRes'!AD47)*Source!I141, 2)+ROUND(SUMIF(SmtRes!AQ45:'SmtRes'!AQ47,"=1",SmtRes!AC45:'SmtRes'!AC47)*Source!I141, 2))), 2)</f>
        <v>6605.48</v>
      </c>
      <c r="AE272">
        <f>ROUND((Source!AU141/100)*((ROUND(SUMIF(SmtRes!AQ45:'SmtRes'!AQ47,"=1",SmtRes!AD45:'SmtRes'!AD47)*Source!I141, 2)+ROUND(SUMIF(SmtRes!AQ45:'SmtRes'!AQ47,"=1",SmtRes!AC45:'SmtRes'!AC47)*Source!I141, 2))), 2)</f>
        <v>3213.48</v>
      </c>
      <c r="AN272" s="53">
        <f>L264+L270+L271</f>
        <v>37572.49</v>
      </c>
      <c r="AO272">
        <f>0</f>
        <v>0</v>
      </c>
      <c r="AQ272" t="s">
        <v>376</v>
      </c>
      <c r="AR272" s="53">
        <f>L264</f>
        <v>17891.66</v>
      </c>
      <c r="AT272">
        <f>0</f>
        <v>0</v>
      </c>
      <c r="AV272" t="s">
        <v>376</v>
      </c>
      <c r="AW272">
        <f>0</f>
        <v>0</v>
      </c>
      <c r="AZ272">
        <f>Source!X141</f>
        <v>13239.83</v>
      </c>
      <c r="BA272">
        <f>Source!Y141</f>
        <v>6441</v>
      </c>
      <c r="BR272" s="53">
        <f>K272</f>
        <v>37572.49</v>
      </c>
      <c r="BU272">
        <f>ROUND(K272*80/100, 2)</f>
        <v>30057.99</v>
      </c>
      <c r="BV272" s="53">
        <f>K272-BU272</f>
        <v>7514.4999999999964</v>
      </c>
      <c r="CB272">
        <f>Source!BM141</f>
        <v>200001</v>
      </c>
      <c r="CC272" t="str">
        <f>Source!E141</f>
        <v>9</v>
      </c>
      <c r="CD272">
        <v>4</v>
      </c>
    </row>
    <row r="273" spans="1:82" ht="28.5" x14ac:dyDescent="0.2">
      <c r="A273" s="38" t="s">
        <v>128</v>
      </c>
      <c r="B273" s="40" t="s">
        <v>414</v>
      </c>
      <c r="C273" s="40" t="str">
        <f>Source!G142</f>
        <v>Испытание сборных и соединительных шин напряжением: до 11 кВ</v>
      </c>
      <c r="D273" s="41" t="str">
        <f>Source!H142</f>
        <v>испытание</v>
      </c>
      <c r="E273" s="42">
        <f>Source!K142</f>
        <v>6</v>
      </c>
      <c r="F273" s="42"/>
      <c r="G273" s="42">
        <f>Source!I142</f>
        <v>6</v>
      </c>
      <c r="H273" s="44"/>
      <c r="I273" s="43"/>
      <c r="J273" s="44"/>
      <c r="K273" s="43"/>
      <c r="L273" s="44"/>
    </row>
    <row r="274" spans="1:82" ht="15" x14ac:dyDescent="0.2">
      <c r="A274" s="39"/>
      <c r="B274" s="42">
        <v>1</v>
      </c>
      <c r="C274" s="39" t="s">
        <v>365</v>
      </c>
      <c r="D274" s="41" t="s">
        <v>264</v>
      </c>
      <c r="E274" s="46"/>
      <c r="F274" s="42"/>
      <c r="G274" s="46">
        <f>Source!U142</f>
        <v>43.739999999999995</v>
      </c>
      <c r="H274" s="42"/>
      <c r="I274" s="42"/>
      <c r="J274" s="42"/>
      <c r="K274" s="42"/>
      <c r="L274" s="47">
        <f>SUM(L275:L276)-SUMIF(CE275:CE276, 1, L275:L276)</f>
        <v>22615.9</v>
      </c>
    </row>
    <row r="275" spans="1:82" ht="14.25" x14ac:dyDescent="0.2">
      <c r="A275" s="40"/>
      <c r="B275" s="40" t="s">
        <v>314</v>
      </c>
      <c r="C275" s="40" t="s">
        <v>315</v>
      </c>
      <c r="D275" s="41" t="s">
        <v>311</v>
      </c>
      <c r="E275" s="42">
        <v>2.92</v>
      </c>
      <c r="F275" s="42"/>
      <c r="G275" s="42">
        <f>SmtRes!CX48</f>
        <v>17.52</v>
      </c>
      <c r="H275" s="44"/>
      <c r="I275" s="43"/>
      <c r="J275" s="44">
        <f>SmtRes!CZ48</f>
        <v>435.27</v>
      </c>
      <c r="K275" s="43"/>
      <c r="L275" s="44">
        <f>SmtRes!DI48</f>
        <v>7625.93</v>
      </c>
    </row>
    <row r="276" spans="1:82" ht="14.25" x14ac:dyDescent="0.2">
      <c r="A276" s="40"/>
      <c r="B276" s="40" t="s">
        <v>312</v>
      </c>
      <c r="C276" s="48" t="s">
        <v>313</v>
      </c>
      <c r="D276" s="49" t="s">
        <v>311</v>
      </c>
      <c r="E276" s="50">
        <v>4.37</v>
      </c>
      <c r="F276" s="50"/>
      <c r="G276" s="50">
        <f>SmtRes!CX49</f>
        <v>26.22</v>
      </c>
      <c r="H276" s="51"/>
      <c r="I276" s="52"/>
      <c r="J276" s="51">
        <f>SmtRes!CZ49</f>
        <v>571.70000000000005</v>
      </c>
      <c r="K276" s="52"/>
      <c r="L276" s="51">
        <f>SmtRes!DI49</f>
        <v>14989.97</v>
      </c>
    </row>
    <row r="277" spans="1:82" ht="15" x14ac:dyDescent="0.2">
      <c r="A277" s="40"/>
      <c r="B277" s="40"/>
      <c r="C277" s="54" t="s">
        <v>371</v>
      </c>
      <c r="D277" s="41"/>
      <c r="E277" s="42"/>
      <c r="F277" s="42"/>
      <c r="G277" s="42"/>
      <c r="H277" s="44"/>
      <c r="I277" s="43"/>
      <c r="J277" s="44"/>
      <c r="K277" s="43"/>
      <c r="L277" s="44">
        <f>L274</f>
        <v>22615.9</v>
      </c>
    </row>
    <row r="278" spans="1:82" ht="14.25" x14ac:dyDescent="0.2">
      <c r="A278" s="40"/>
      <c r="B278" s="40"/>
      <c r="C278" s="40" t="s">
        <v>372</v>
      </c>
      <c r="D278" s="41"/>
      <c r="E278" s="42"/>
      <c r="F278" s="42"/>
      <c r="G278" s="42"/>
      <c r="H278" s="44"/>
      <c r="I278" s="43"/>
      <c r="J278" s="44"/>
      <c r="K278" s="43"/>
      <c r="L278" s="44">
        <f>SUM(AR273:AR281)+SUM(AS273:AS281)+SUM(AT273:AT281)+SUM(AU273:AU281)+SUM(AV273:AV281)</f>
        <v>22615.9</v>
      </c>
    </row>
    <row r="279" spans="1:82" ht="14.25" x14ac:dyDescent="0.2">
      <c r="A279" s="40"/>
      <c r="B279" s="40" t="s">
        <v>118</v>
      </c>
      <c r="C279" s="40" t="s">
        <v>410</v>
      </c>
      <c r="D279" s="41" t="s">
        <v>288</v>
      </c>
      <c r="E279" s="42">
        <f>Source!BZ142</f>
        <v>74</v>
      </c>
      <c r="F279" s="42"/>
      <c r="G279" s="42">
        <f>Source!AT142</f>
        <v>74</v>
      </c>
      <c r="H279" s="44"/>
      <c r="I279" s="43"/>
      <c r="J279" s="44"/>
      <c r="K279" s="43"/>
      <c r="L279" s="44">
        <f>SUM(AZ273:AZ281)</f>
        <v>16735.77</v>
      </c>
    </row>
    <row r="280" spans="1:82" ht="14.25" x14ac:dyDescent="0.2">
      <c r="A280" s="48"/>
      <c r="B280" s="48" t="s">
        <v>119</v>
      </c>
      <c r="C280" s="48" t="s">
        <v>411</v>
      </c>
      <c r="D280" s="49" t="s">
        <v>288</v>
      </c>
      <c r="E280" s="50">
        <f>Source!CA142</f>
        <v>36</v>
      </c>
      <c r="F280" s="50"/>
      <c r="G280" s="50">
        <f>Source!AU142</f>
        <v>36</v>
      </c>
      <c r="H280" s="51"/>
      <c r="I280" s="52"/>
      <c r="J280" s="51"/>
      <c r="K280" s="52"/>
      <c r="L280" s="51">
        <f>SUM(BA273:BA281)</f>
        <v>8141.72</v>
      </c>
    </row>
    <row r="281" spans="1:82" ht="15" x14ac:dyDescent="0.2">
      <c r="C281" s="94" t="s">
        <v>375</v>
      </c>
      <c r="D281" s="94"/>
      <c r="E281" s="94"/>
      <c r="F281" s="94"/>
      <c r="G281" s="94"/>
      <c r="H281" s="94"/>
      <c r="I281" s="95">
        <f>K281/E273</f>
        <v>7915.5649999999996</v>
      </c>
      <c r="J281" s="95"/>
      <c r="K281" s="95">
        <f>L274+L279+L280</f>
        <v>47493.39</v>
      </c>
      <c r="L281" s="95"/>
      <c r="AD281">
        <f>ROUND((Source!AT142/100)*((ROUND(SUMIF(SmtRes!AQ48:'SmtRes'!AQ49,"=1",SmtRes!AD48:'SmtRes'!AD49)*Source!I142, 2)+ROUND(SUMIF(SmtRes!AQ48:'SmtRes'!AQ49,"=1",SmtRes!AC48:'SmtRes'!AC49)*Source!I142, 2))), 2)</f>
        <v>4470.95</v>
      </c>
      <c r="AE281">
        <f>ROUND((Source!AU142/100)*((ROUND(SUMIF(SmtRes!AQ48:'SmtRes'!AQ49,"=1",SmtRes!AD48:'SmtRes'!AD49)*Source!I142, 2)+ROUND(SUMIF(SmtRes!AQ48:'SmtRes'!AQ49,"=1",SmtRes!AC48:'SmtRes'!AC49)*Source!I142, 2))), 2)</f>
        <v>2175.06</v>
      </c>
      <c r="AN281" s="53">
        <f>L274+L279+L280</f>
        <v>47493.39</v>
      </c>
      <c r="AO281">
        <f>0</f>
        <v>0</v>
      </c>
      <c r="AQ281" t="s">
        <v>376</v>
      </c>
      <c r="AR281" s="53">
        <f>L274</f>
        <v>22615.9</v>
      </c>
      <c r="AT281">
        <f>0</f>
        <v>0</v>
      </c>
      <c r="AV281" t="s">
        <v>376</v>
      </c>
      <c r="AW281">
        <f>0</f>
        <v>0</v>
      </c>
      <c r="AZ281">
        <f>Source!X142</f>
        <v>16735.77</v>
      </c>
      <c r="BA281">
        <f>Source!Y142</f>
        <v>8141.72</v>
      </c>
      <c r="BR281" s="53">
        <f>K281</f>
        <v>47493.39</v>
      </c>
      <c r="BU281">
        <f>ROUND(K281*80/100, 2)</f>
        <v>37994.71</v>
      </c>
      <c r="BV281" s="53">
        <f>K281-BU281</f>
        <v>9498.68</v>
      </c>
      <c r="CB281">
        <f>Source!BM142</f>
        <v>200001</v>
      </c>
      <c r="CC281" t="str">
        <f>Source!E142</f>
        <v>10</v>
      </c>
      <c r="CD281">
        <v>4</v>
      </c>
    </row>
    <row r="282" spans="1:82" ht="42.75" x14ac:dyDescent="0.2">
      <c r="A282" s="38" t="s">
        <v>133</v>
      </c>
      <c r="B282" s="40" t="s">
        <v>415</v>
      </c>
      <c r="C282" s="40" t="str">
        <f>Source!G143</f>
        <v>Двухфазная токовая отсечка: и МТЗ с независимой выдержкой времени (комплект КЗ-13)</v>
      </c>
      <c r="D282" s="41" t="str">
        <f>Source!H143</f>
        <v>КОМПЛ</v>
      </c>
      <c r="E282" s="42">
        <f>Source!K143</f>
        <v>2</v>
      </c>
      <c r="F282" s="42"/>
      <c r="G282" s="42">
        <f>Source!I143</f>
        <v>2</v>
      </c>
      <c r="H282" s="44"/>
      <c r="I282" s="43"/>
      <c r="J282" s="44"/>
      <c r="K282" s="43"/>
      <c r="L282" s="44"/>
    </row>
    <row r="283" spans="1:82" ht="15" x14ac:dyDescent="0.2">
      <c r="A283" s="39"/>
      <c r="B283" s="42">
        <v>1</v>
      </c>
      <c r="C283" s="39" t="s">
        <v>365</v>
      </c>
      <c r="D283" s="41" t="s">
        <v>264</v>
      </c>
      <c r="E283" s="46"/>
      <c r="F283" s="42"/>
      <c r="G283" s="46">
        <f>Source!U143</f>
        <v>27.36</v>
      </c>
      <c r="H283" s="42"/>
      <c r="I283" s="42"/>
      <c r="J283" s="42"/>
      <c r="K283" s="42"/>
      <c r="L283" s="47">
        <f>SUM(L284:L285)-SUMIF(CE284:CE285, 1, L284:L285)</f>
        <v>15608</v>
      </c>
    </row>
    <row r="284" spans="1:82" ht="14.25" x14ac:dyDescent="0.2">
      <c r="A284" s="40"/>
      <c r="B284" s="40" t="s">
        <v>316</v>
      </c>
      <c r="C284" s="40" t="s">
        <v>317</v>
      </c>
      <c r="D284" s="41" t="s">
        <v>311</v>
      </c>
      <c r="E284" s="42">
        <v>4.0999999999999996</v>
      </c>
      <c r="F284" s="42"/>
      <c r="G284" s="42">
        <f>SmtRes!CX50</f>
        <v>8.1999999999999993</v>
      </c>
      <c r="H284" s="44"/>
      <c r="I284" s="43"/>
      <c r="J284" s="44">
        <f>SmtRes!CZ50</f>
        <v>415.78</v>
      </c>
      <c r="K284" s="43"/>
      <c r="L284" s="44">
        <f>SmtRes!DI50</f>
        <v>3409.4</v>
      </c>
    </row>
    <row r="285" spans="1:82" ht="14.25" x14ac:dyDescent="0.2">
      <c r="A285" s="40"/>
      <c r="B285" s="40" t="s">
        <v>318</v>
      </c>
      <c r="C285" s="48" t="s">
        <v>319</v>
      </c>
      <c r="D285" s="49" t="s">
        <v>311</v>
      </c>
      <c r="E285" s="50">
        <v>9.58</v>
      </c>
      <c r="F285" s="50"/>
      <c r="G285" s="50">
        <f>SmtRes!CX51</f>
        <v>19.16</v>
      </c>
      <c r="H285" s="51"/>
      <c r="I285" s="52"/>
      <c r="J285" s="51">
        <f>SmtRes!CZ51</f>
        <v>636.66999999999996</v>
      </c>
      <c r="K285" s="52"/>
      <c r="L285" s="51">
        <f>SmtRes!DI51</f>
        <v>12198.6</v>
      </c>
    </row>
    <row r="286" spans="1:82" ht="15" x14ac:dyDescent="0.2">
      <c r="A286" s="40"/>
      <c r="B286" s="40"/>
      <c r="C286" s="54" t="s">
        <v>371</v>
      </c>
      <c r="D286" s="41"/>
      <c r="E286" s="42"/>
      <c r="F286" s="42"/>
      <c r="G286" s="42"/>
      <c r="H286" s="44"/>
      <c r="I286" s="43"/>
      <c r="J286" s="44"/>
      <c r="K286" s="43"/>
      <c r="L286" s="44">
        <f>L283</f>
        <v>15608</v>
      </c>
    </row>
    <row r="287" spans="1:82" ht="14.25" x14ac:dyDescent="0.2">
      <c r="A287" s="40"/>
      <c r="B287" s="40"/>
      <c r="C287" s="40" t="s">
        <v>372</v>
      </c>
      <c r="D287" s="41"/>
      <c r="E287" s="42"/>
      <c r="F287" s="42"/>
      <c r="G287" s="42"/>
      <c r="H287" s="44"/>
      <c r="I287" s="43"/>
      <c r="J287" s="44"/>
      <c r="K287" s="43"/>
      <c r="L287" s="44">
        <f>SUM(AR282:AR290)+SUM(AS282:AS290)+SUM(AT282:AT290)+SUM(AU282:AU290)+SUM(AV282:AV290)</f>
        <v>15608</v>
      </c>
    </row>
    <row r="288" spans="1:82" ht="14.25" x14ac:dyDescent="0.2">
      <c r="A288" s="40"/>
      <c r="B288" s="40" t="s">
        <v>118</v>
      </c>
      <c r="C288" s="40" t="s">
        <v>410</v>
      </c>
      <c r="D288" s="41" t="s">
        <v>288</v>
      </c>
      <c r="E288" s="42">
        <f>Source!BZ143</f>
        <v>74</v>
      </c>
      <c r="F288" s="42"/>
      <c r="G288" s="42">
        <f>Source!AT143</f>
        <v>74</v>
      </c>
      <c r="H288" s="44"/>
      <c r="I288" s="43"/>
      <c r="J288" s="44"/>
      <c r="K288" s="43"/>
      <c r="L288" s="44">
        <f>SUM(AZ282:AZ290)</f>
        <v>11549.92</v>
      </c>
    </row>
    <row r="289" spans="1:82" ht="14.25" x14ac:dyDescent="0.2">
      <c r="A289" s="48"/>
      <c r="B289" s="48" t="s">
        <v>119</v>
      </c>
      <c r="C289" s="48" t="s">
        <v>411</v>
      </c>
      <c r="D289" s="49" t="s">
        <v>288</v>
      </c>
      <c r="E289" s="50">
        <f>Source!CA143</f>
        <v>36</v>
      </c>
      <c r="F289" s="50"/>
      <c r="G289" s="50">
        <f>Source!AU143</f>
        <v>36</v>
      </c>
      <c r="H289" s="51"/>
      <c r="I289" s="52"/>
      <c r="J289" s="51"/>
      <c r="K289" s="52"/>
      <c r="L289" s="51">
        <f>SUM(BA282:BA290)</f>
        <v>5618.88</v>
      </c>
    </row>
    <row r="290" spans="1:82" ht="15" x14ac:dyDescent="0.2">
      <c r="C290" s="94" t="s">
        <v>375</v>
      </c>
      <c r="D290" s="94"/>
      <c r="E290" s="94"/>
      <c r="F290" s="94"/>
      <c r="G290" s="94"/>
      <c r="H290" s="94"/>
      <c r="I290" s="95">
        <f>K290/E282</f>
        <v>16388.399999999998</v>
      </c>
      <c r="J290" s="95"/>
      <c r="K290" s="95">
        <f>L283+L288+L289</f>
        <v>32776.799999999996</v>
      </c>
      <c r="L290" s="95"/>
      <c r="AD290">
        <f>ROUND((Source!AT143/100)*((ROUND(SUMIF(SmtRes!AQ50:'SmtRes'!AQ51,"=1",SmtRes!AD50:'SmtRes'!AD51)*Source!I143, 2)+ROUND(SUMIF(SmtRes!AQ50:'SmtRes'!AQ51,"=1",SmtRes!AC50:'SmtRes'!AC51)*Source!I143, 2))), 2)</f>
        <v>1557.63</v>
      </c>
      <c r="AE290">
        <f>ROUND((Source!AU143/100)*((ROUND(SUMIF(SmtRes!AQ50:'SmtRes'!AQ51,"=1",SmtRes!AD50:'SmtRes'!AD51)*Source!I143, 2)+ROUND(SUMIF(SmtRes!AQ50:'SmtRes'!AQ51,"=1",SmtRes!AC50:'SmtRes'!AC51)*Source!I143, 2))), 2)</f>
        <v>757.76</v>
      </c>
      <c r="AN290" s="53">
        <f>L283+L288+L289</f>
        <v>32776.799999999996</v>
      </c>
      <c r="AO290">
        <f>0</f>
        <v>0</v>
      </c>
      <c r="AQ290" t="s">
        <v>376</v>
      </c>
      <c r="AR290" s="53">
        <f>L283</f>
        <v>15608</v>
      </c>
      <c r="AT290">
        <f>0</f>
        <v>0</v>
      </c>
      <c r="AV290" t="s">
        <v>376</v>
      </c>
      <c r="AW290">
        <f>0</f>
        <v>0</v>
      </c>
      <c r="AZ290">
        <f>Source!X143</f>
        <v>11549.92</v>
      </c>
      <c r="BA290">
        <f>Source!Y143</f>
        <v>5618.88</v>
      </c>
      <c r="BR290" s="53">
        <f>K290</f>
        <v>32776.799999999996</v>
      </c>
      <c r="BU290">
        <f>ROUND(K290*80/100, 2)</f>
        <v>26221.439999999999</v>
      </c>
      <c r="BV290" s="53">
        <f>K290-BU290</f>
        <v>6555.3599999999969</v>
      </c>
      <c r="CB290">
        <f>Source!BM143</f>
        <v>200001</v>
      </c>
      <c r="CC290" t="str">
        <f>Source!E143</f>
        <v>11</v>
      </c>
      <c r="CD290">
        <v>4</v>
      </c>
    </row>
    <row r="291" spans="1:82" ht="42.75" x14ac:dyDescent="0.2">
      <c r="A291" s="38" t="s">
        <v>138</v>
      </c>
      <c r="B291" s="40" t="s">
        <v>416</v>
      </c>
      <c r="C291" s="40" t="str">
        <f>Source!G144</f>
        <v>МТЗ на постоянном и переменном оперативном токе с: одним реле РТ-40, РСТ</v>
      </c>
      <c r="D291" s="41" t="str">
        <f>Source!H144</f>
        <v>КОМПЛ</v>
      </c>
      <c r="E291" s="42">
        <f>Source!K144</f>
        <v>2</v>
      </c>
      <c r="F291" s="42"/>
      <c r="G291" s="42">
        <f>Source!I144</f>
        <v>2</v>
      </c>
      <c r="H291" s="44"/>
      <c r="I291" s="43"/>
      <c r="J291" s="44"/>
      <c r="K291" s="43"/>
      <c r="L291" s="44"/>
    </row>
    <row r="292" spans="1:82" ht="15" x14ac:dyDescent="0.2">
      <c r="A292" s="39"/>
      <c r="B292" s="42">
        <v>1</v>
      </c>
      <c r="C292" s="39" t="s">
        <v>365</v>
      </c>
      <c r="D292" s="41" t="s">
        <v>264</v>
      </c>
      <c r="E292" s="46"/>
      <c r="F292" s="42"/>
      <c r="G292" s="46">
        <f>Source!U144</f>
        <v>8.64</v>
      </c>
      <c r="H292" s="42"/>
      <c r="I292" s="42"/>
      <c r="J292" s="42"/>
      <c r="K292" s="42"/>
      <c r="L292" s="47">
        <f>SUM(L293:L293)-SUMIF(CE293:CE293, 1, L293:L293)</f>
        <v>4939.49</v>
      </c>
    </row>
    <row r="293" spans="1:82" ht="14.25" x14ac:dyDescent="0.2">
      <c r="A293" s="40"/>
      <c r="B293" s="40" t="s">
        <v>312</v>
      </c>
      <c r="C293" s="48" t="s">
        <v>313</v>
      </c>
      <c r="D293" s="49" t="s">
        <v>311</v>
      </c>
      <c r="E293" s="50">
        <v>4.32</v>
      </c>
      <c r="F293" s="50"/>
      <c r="G293" s="50">
        <f>SmtRes!CX52</f>
        <v>8.64</v>
      </c>
      <c r="H293" s="51"/>
      <c r="I293" s="52"/>
      <c r="J293" s="51">
        <f>SmtRes!CZ52</f>
        <v>571.70000000000005</v>
      </c>
      <c r="K293" s="52"/>
      <c r="L293" s="51">
        <f>SmtRes!DI52</f>
        <v>4939.49</v>
      </c>
    </row>
    <row r="294" spans="1:82" ht="15" x14ac:dyDescent="0.2">
      <c r="A294" s="40"/>
      <c r="B294" s="40"/>
      <c r="C294" s="54" t="s">
        <v>371</v>
      </c>
      <c r="D294" s="41"/>
      <c r="E294" s="42"/>
      <c r="F294" s="42"/>
      <c r="G294" s="42"/>
      <c r="H294" s="44"/>
      <c r="I294" s="43"/>
      <c r="J294" s="44"/>
      <c r="K294" s="43"/>
      <c r="L294" s="44">
        <f>L292</f>
        <v>4939.49</v>
      </c>
    </row>
    <row r="295" spans="1:82" ht="14.25" x14ac:dyDescent="0.2">
      <c r="A295" s="40"/>
      <c r="B295" s="40"/>
      <c r="C295" s="40" t="s">
        <v>372</v>
      </c>
      <c r="D295" s="41"/>
      <c r="E295" s="42"/>
      <c r="F295" s="42"/>
      <c r="G295" s="42"/>
      <c r="H295" s="44"/>
      <c r="I295" s="43"/>
      <c r="J295" s="44"/>
      <c r="K295" s="43"/>
      <c r="L295" s="44">
        <f>SUM(AR291:AR298)+SUM(AS291:AS298)+SUM(AT291:AT298)+SUM(AU291:AU298)+SUM(AV291:AV298)</f>
        <v>4939.49</v>
      </c>
    </row>
    <row r="296" spans="1:82" ht="14.25" x14ac:dyDescent="0.2">
      <c r="A296" s="40"/>
      <c r="B296" s="40" t="s">
        <v>118</v>
      </c>
      <c r="C296" s="40" t="s">
        <v>410</v>
      </c>
      <c r="D296" s="41" t="s">
        <v>288</v>
      </c>
      <c r="E296" s="42">
        <f>Source!BZ144</f>
        <v>74</v>
      </c>
      <c r="F296" s="42"/>
      <c r="G296" s="42">
        <f>Source!AT144</f>
        <v>74</v>
      </c>
      <c r="H296" s="44"/>
      <c r="I296" s="43"/>
      <c r="J296" s="44"/>
      <c r="K296" s="43"/>
      <c r="L296" s="44">
        <f>SUM(AZ291:AZ298)</f>
        <v>3655.22</v>
      </c>
    </row>
    <row r="297" spans="1:82" ht="14.25" x14ac:dyDescent="0.2">
      <c r="A297" s="48"/>
      <c r="B297" s="48" t="s">
        <v>119</v>
      </c>
      <c r="C297" s="48" t="s">
        <v>411</v>
      </c>
      <c r="D297" s="49" t="s">
        <v>288</v>
      </c>
      <c r="E297" s="50">
        <f>Source!CA144</f>
        <v>36</v>
      </c>
      <c r="F297" s="50"/>
      <c r="G297" s="50">
        <f>Source!AU144</f>
        <v>36</v>
      </c>
      <c r="H297" s="51"/>
      <c r="I297" s="52"/>
      <c r="J297" s="51"/>
      <c r="K297" s="52"/>
      <c r="L297" s="51">
        <f>SUM(BA291:BA298)</f>
        <v>1778.22</v>
      </c>
    </row>
    <row r="298" spans="1:82" ht="15" x14ac:dyDescent="0.2">
      <c r="C298" s="94" t="s">
        <v>375</v>
      </c>
      <c r="D298" s="94"/>
      <c r="E298" s="94"/>
      <c r="F298" s="94"/>
      <c r="G298" s="94"/>
      <c r="H298" s="94"/>
      <c r="I298" s="95">
        <f>K298/E291</f>
        <v>5186.4649999999992</v>
      </c>
      <c r="J298" s="95"/>
      <c r="K298" s="95">
        <f>L292+L296+L297</f>
        <v>10372.929999999998</v>
      </c>
      <c r="L298" s="95"/>
      <c r="AD298">
        <f>ROUND((Source!AT144/100)*((ROUND(SUMIF(SmtRes!AQ52:'SmtRes'!AQ52,"=1",SmtRes!AD52:'SmtRes'!AD52)*Source!I144, 2)+ROUND(SUMIF(SmtRes!AQ52:'SmtRes'!AQ52,"=1",SmtRes!AC52:'SmtRes'!AC52)*Source!I144, 2))), 2)</f>
        <v>846.12</v>
      </c>
      <c r="AE298">
        <f>ROUND((Source!AU144/100)*((ROUND(SUMIF(SmtRes!AQ52:'SmtRes'!AQ52,"=1",SmtRes!AD52:'SmtRes'!AD52)*Source!I144, 2)+ROUND(SUMIF(SmtRes!AQ52:'SmtRes'!AQ52,"=1",SmtRes!AC52:'SmtRes'!AC52)*Source!I144, 2))), 2)</f>
        <v>411.62</v>
      </c>
      <c r="AN298" s="53">
        <f>L292+L296+L297</f>
        <v>10372.929999999998</v>
      </c>
      <c r="AO298">
        <f>0</f>
        <v>0</v>
      </c>
      <c r="AQ298" t="s">
        <v>376</v>
      </c>
      <c r="AR298" s="53">
        <f>L292</f>
        <v>4939.49</v>
      </c>
      <c r="AT298">
        <f>0</f>
        <v>0</v>
      </c>
      <c r="AV298" t="s">
        <v>376</v>
      </c>
      <c r="AW298">
        <f>0</f>
        <v>0</v>
      </c>
      <c r="AZ298">
        <f>Source!X144</f>
        <v>3655.22</v>
      </c>
      <c r="BA298">
        <f>Source!Y144</f>
        <v>1778.22</v>
      </c>
      <c r="BR298" s="53">
        <f>K298</f>
        <v>10372.929999999998</v>
      </c>
      <c r="BU298">
        <f>ROUND(K298*80/100, 2)</f>
        <v>8298.34</v>
      </c>
      <c r="BV298" s="53">
        <f>K298-BU298</f>
        <v>2074.5899999999983</v>
      </c>
      <c r="CB298">
        <f>Source!BM144</f>
        <v>200001</v>
      </c>
      <c r="CC298" t="str">
        <f>Source!E144</f>
        <v>12</v>
      </c>
      <c r="CD298">
        <v>4</v>
      </c>
    </row>
    <row r="299" spans="1:82" ht="42.75" x14ac:dyDescent="0.2">
      <c r="A299" s="38" t="s">
        <v>142</v>
      </c>
      <c r="B299" s="40" t="s">
        <v>417</v>
      </c>
      <c r="C299" s="40" t="str">
        <f>Source!G145</f>
        <v>МТЗ на постоянном и переменном оперативном токе с: одним реле РНТ, РСТ-15 (РСТ-16)</v>
      </c>
      <c r="D299" s="41" t="str">
        <f>Source!H145</f>
        <v>КОМПЛ</v>
      </c>
      <c r="E299" s="42">
        <f>Source!K145</f>
        <v>2</v>
      </c>
      <c r="F299" s="42"/>
      <c r="G299" s="42">
        <f>Source!I145</f>
        <v>2</v>
      </c>
      <c r="H299" s="44"/>
      <c r="I299" s="43"/>
      <c r="J299" s="44"/>
      <c r="K299" s="43"/>
      <c r="L299" s="44"/>
    </row>
    <row r="300" spans="1:82" ht="15" x14ac:dyDescent="0.2">
      <c r="A300" s="39"/>
      <c r="B300" s="42">
        <v>1</v>
      </c>
      <c r="C300" s="39" t="s">
        <v>365</v>
      </c>
      <c r="D300" s="41" t="s">
        <v>264</v>
      </c>
      <c r="E300" s="46"/>
      <c r="F300" s="42"/>
      <c r="G300" s="46">
        <f>Source!U145</f>
        <v>12.96</v>
      </c>
      <c r="H300" s="42"/>
      <c r="I300" s="42"/>
      <c r="J300" s="42"/>
      <c r="K300" s="42"/>
      <c r="L300" s="47">
        <f>SUM(L301:L301)-SUMIF(CE301:CE301, 1, L301:L301)</f>
        <v>7409.23</v>
      </c>
    </row>
    <row r="301" spans="1:82" ht="14.25" x14ac:dyDescent="0.2">
      <c r="A301" s="40"/>
      <c r="B301" s="40" t="s">
        <v>312</v>
      </c>
      <c r="C301" s="48" t="s">
        <v>313</v>
      </c>
      <c r="D301" s="49" t="s">
        <v>311</v>
      </c>
      <c r="E301" s="50">
        <v>6.48</v>
      </c>
      <c r="F301" s="50"/>
      <c r="G301" s="50">
        <f>SmtRes!CX53</f>
        <v>12.96</v>
      </c>
      <c r="H301" s="51"/>
      <c r="I301" s="52"/>
      <c r="J301" s="51">
        <f>SmtRes!CZ53</f>
        <v>571.70000000000005</v>
      </c>
      <c r="K301" s="52"/>
      <c r="L301" s="51">
        <f>SmtRes!DI53</f>
        <v>7409.23</v>
      </c>
    </row>
    <row r="302" spans="1:82" ht="15" x14ac:dyDescent="0.2">
      <c r="A302" s="40"/>
      <c r="B302" s="40"/>
      <c r="C302" s="54" t="s">
        <v>371</v>
      </c>
      <c r="D302" s="41"/>
      <c r="E302" s="42"/>
      <c r="F302" s="42"/>
      <c r="G302" s="42"/>
      <c r="H302" s="44"/>
      <c r="I302" s="43"/>
      <c r="J302" s="44"/>
      <c r="K302" s="43"/>
      <c r="L302" s="44">
        <f>L300</f>
        <v>7409.23</v>
      </c>
    </row>
    <row r="303" spans="1:82" ht="14.25" x14ac:dyDescent="0.2">
      <c r="A303" s="40"/>
      <c r="B303" s="40"/>
      <c r="C303" s="40" t="s">
        <v>372</v>
      </c>
      <c r="D303" s="41"/>
      <c r="E303" s="42"/>
      <c r="F303" s="42"/>
      <c r="G303" s="42"/>
      <c r="H303" s="44"/>
      <c r="I303" s="43"/>
      <c r="J303" s="44"/>
      <c r="K303" s="43"/>
      <c r="L303" s="44">
        <f>SUM(AR299:AR306)+SUM(AS299:AS306)+SUM(AT299:AT306)+SUM(AU299:AU306)+SUM(AV299:AV306)</f>
        <v>7409.23</v>
      </c>
    </row>
    <row r="304" spans="1:82" ht="14.25" x14ac:dyDescent="0.2">
      <c r="A304" s="40"/>
      <c r="B304" s="40" t="s">
        <v>118</v>
      </c>
      <c r="C304" s="40" t="s">
        <v>410</v>
      </c>
      <c r="D304" s="41" t="s">
        <v>288</v>
      </c>
      <c r="E304" s="42">
        <f>Source!BZ145</f>
        <v>74</v>
      </c>
      <c r="F304" s="42"/>
      <c r="G304" s="42">
        <f>Source!AT145</f>
        <v>74</v>
      </c>
      <c r="H304" s="44"/>
      <c r="I304" s="43"/>
      <c r="J304" s="44"/>
      <c r="K304" s="43"/>
      <c r="L304" s="44">
        <f>SUM(AZ299:AZ306)</f>
        <v>5482.83</v>
      </c>
    </row>
    <row r="305" spans="1:82" ht="14.25" x14ac:dyDescent="0.2">
      <c r="A305" s="48"/>
      <c r="B305" s="48" t="s">
        <v>119</v>
      </c>
      <c r="C305" s="48" t="s">
        <v>411</v>
      </c>
      <c r="D305" s="49" t="s">
        <v>288</v>
      </c>
      <c r="E305" s="50">
        <f>Source!CA145</f>
        <v>36</v>
      </c>
      <c r="F305" s="50"/>
      <c r="G305" s="50">
        <f>Source!AU145</f>
        <v>36</v>
      </c>
      <c r="H305" s="51"/>
      <c r="I305" s="52"/>
      <c r="J305" s="51"/>
      <c r="K305" s="52"/>
      <c r="L305" s="51">
        <f>SUM(BA299:BA306)</f>
        <v>2667.32</v>
      </c>
    </row>
    <row r="306" spans="1:82" ht="15" x14ac:dyDescent="0.2">
      <c r="C306" s="94" t="s">
        <v>375</v>
      </c>
      <c r="D306" s="94"/>
      <c r="E306" s="94"/>
      <c r="F306" s="94"/>
      <c r="G306" s="94"/>
      <c r="H306" s="94"/>
      <c r="I306" s="95">
        <f>K306/E299</f>
        <v>7779.69</v>
      </c>
      <c r="J306" s="95"/>
      <c r="K306" s="95">
        <f>L300+L304+L305</f>
        <v>15559.38</v>
      </c>
      <c r="L306" s="95"/>
      <c r="AD306">
        <f>ROUND((Source!AT145/100)*((ROUND(SUMIF(SmtRes!AQ53:'SmtRes'!AQ53,"=1",SmtRes!AD53:'SmtRes'!AD53)*Source!I145, 2)+ROUND(SUMIF(SmtRes!AQ53:'SmtRes'!AQ53,"=1",SmtRes!AC53:'SmtRes'!AC53)*Source!I145, 2))), 2)</f>
        <v>846.12</v>
      </c>
      <c r="AE306">
        <f>ROUND((Source!AU145/100)*((ROUND(SUMIF(SmtRes!AQ53:'SmtRes'!AQ53,"=1",SmtRes!AD53:'SmtRes'!AD53)*Source!I145, 2)+ROUND(SUMIF(SmtRes!AQ53:'SmtRes'!AQ53,"=1",SmtRes!AC53:'SmtRes'!AC53)*Source!I145, 2))), 2)</f>
        <v>411.62</v>
      </c>
      <c r="AN306" s="53">
        <f>L300+L304+L305</f>
        <v>15559.38</v>
      </c>
      <c r="AO306">
        <f>0</f>
        <v>0</v>
      </c>
      <c r="AQ306" t="s">
        <v>376</v>
      </c>
      <c r="AR306" s="53">
        <f>L300</f>
        <v>7409.23</v>
      </c>
      <c r="AT306">
        <f>0</f>
        <v>0</v>
      </c>
      <c r="AV306" t="s">
        <v>376</v>
      </c>
      <c r="AW306">
        <f>0</f>
        <v>0</v>
      </c>
      <c r="AZ306">
        <f>Source!X145</f>
        <v>5482.83</v>
      </c>
      <c r="BA306">
        <f>Source!Y145</f>
        <v>2667.32</v>
      </c>
      <c r="BR306" s="53">
        <f>K306</f>
        <v>15559.38</v>
      </c>
      <c r="BU306">
        <f>ROUND(K306*80/100, 2)</f>
        <v>12447.5</v>
      </c>
      <c r="BV306" s="53">
        <f>K306-BU306</f>
        <v>3111.8799999999992</v>
      </c>
      <c r="CB306">
        <f>Source!BM145</f>
        <v>200001</v>
      </c>
      <c r="CC306" t="str">
        <f>Source!E145</f>
        <v>13</v>
      </c>
      <c r="CD306">
        <v>4</v>
      </c>
    </row>
    <row r="307" spans="1:82" ht="28.5" x14ac:dyDescent="0.2">
      <c r="A307" s="38" t="s">
        <v>146</v>
      </c>
      <c r="B307" s="40" t="s">
        <v>418</v>
      </c>
      <c r="C307" s="40" t="str">
        <f>Source!G146</f>
        <v>Устройство пуска МТЗ по напряжению</v>
      </c>
      <c r="D307" s="41" t="str">
        <f>Source!H146</f>
        <v>КОМПЛ</v>
      </c>
      <c r="E307" s="42">
        <f>Source!K146</f>
        <v>2</v>
      </c>
      <c r="F307" s="42"/>
      <c r="G307" s="42">
        <f>Source!I146</f>
        <v>2</v>
      </c>
      <c r="H307" s="44"/>
      <c r="I307" s="43"/>
      <c r="J307" s="44"/>
      <c r="K307" s="43"/>
      <c r="L307" s="44"/>
    </row>
    <row r="308" spans="1:82" ht="15" x14ac:dyDescent="0.2">
      <c r="A308" s="39"/>
      <c r="B308" s="42">
        <v>1</v>
      </c>
      <c r="C308" s="39" t="s">
        <v>365</v>
      </c>
      <c r="D308" s="41" t="s">
        <v>264</v>
      </c>
      <c r="E308" s="46"/>
      <c r="F308" s="42"/>
      <c r="G308" s="46">
        <f>Source!U146</f>
        <v>12.96</v>
      </c>
      <c r="H308" s="42"/>
      <c r="I308" s="42"/>
      <c r="J308" s="42"/>
      <c r="K308" s="42"/>
      <c r="L308" s="47">
        <f>SUM(L309:L309)-SUMIF(CE309:CE309, 1, L309:L309)</f>
        <v>7409.23</v>
      </c>
    </row>
    <row r="309" spans="1:82" ht="14.25" x14ac:dyDescent="0.2">
      <c r="A309" s="40"/>
      <c r="B309" s="40" t="s">
        <v>312</v>
      </c>
      <c r="C309" s="48" t="s">
        <v>313</v>
      </c>
      <c r="D309" s="49" t="s">
        <v>311</v>
      </c>
      <c r="E309" s="50">
        <v>6.48</v>
      </c>
      <c r="F309" s="50"/>
      <c r="G309" s="50">
        <f>SmtRes!CX54</f>
        <v>12.96</v>
      </c>
      <c r="H309" s="51"/>
      <c r="I309" s="52"/>
      <c r="J309" s="51">
        <f>SmtRes!CZ54</f>
        <v>571.70000000000005</v>
      </c>
      <c r="K309" s="52"/>
      <c r="L309" s="51">
        <f>SmtRes!DI54</f>
        <v>7409.23</v>
      </c>
    </row>
    <row r="310" spans="1:82" ht="15" x14ac:dyDescent="0.2">
      <c r="A310" s="40"/>
      <c r="B310" s="40"/>
      <c r="C310" s="54" t="s">
        <v>371</v>
      </c>
      <c r="D310" s="41"/>
      <c r="E310" s="42"/>
      <c r="F310" s="42"/>
      <c r="G310" s="42"/>
      <c r="H310" s="44"/>
      <c r="I310" s="43"/>
      <c r="J310" s="44"/>
      <c r="K310" s="43"/>
      <c r="L310" s="44">
        <f>L308</f>
        <v>7409.23</v>
      </c>
    </row>
    <row r="311" spans="1:82" ht="14.25" x14ac:dyDescent="0.2">
      <c r="A311" s="40"/>
      <c r="B311" s="40"/>
      <c r="C311" s="40" t="s">
        <v>372</v>
      </c>
      <c r="D311" s="41"/>
      <c r="E311" s="42"/>
      <c r="F311" s="42"/>
      <c r="G311" s="42"/>
      <c r="H311" s="44"/>
      <c r="I311" s="43"/>
      <c r="J311" s="44"/>
      <c r="K311" s="43"/>
      <c r="L311" s="44">
        <f>SUM(AR307:AR314)+SUM(AS307:AS314)+SUM(AT307:AT314)+SUM(AU307:AU314)+SUM(AV307:AV314)</f>
        <v>7409.23</v>
      </c>
    </row>
    <row r="312" spans="1:82" ht="14.25" x14ac:dyDescent="0.2">
      <c r="A312" s="40"/>
      <c r="B312" s="40" t="s">
        <v>118</v>
      </c>
      <c r="C312" s="40" t="s">
        <v>410</v>
      </c>
      <c r="D312" s="41" t="s">
        <v>288</v>
      </c>
      <c r="E312" s="42">
        <f>Source!BZ146</f>
        <v>74</v>
      </c>
      <c r="F312" s="42"/>
      <c r="G312" s="42">
        <f>Source!AT146</f>
        <v>74</v>
      </c>
      <c r="H312" s="44"/>
      <c r="I312" s="43"/>
      <c r="J312" s="44"/>
      <c r="K312" s="43"/>
      <c r="L312" s="44">
        <f>SUM(AZ307:AZ314)</f>
        <v>5482.83</v>
      </c>
    </row>
    <row r="313" spans="1:82" ht="14.25" x14ac:dyDescent="0.2">
      <c r="A313" s="48"/>
      <c r="B313" s="48" t="s">
        <v>119</v>
      </c>
      <c r="C313" s="48" t="s">
        <v>411</v>
      </c>
      <c r="D313" s="49" t="s">
        <v>288</v>
      </c>
      <c r="E313" s="50">
        <f>Source!CA146</f>
        <v>36</v>
      </c>
      <c r="F313" s="50"/>
      <c r="G313" s="50">
        <f>Source!AU146</f>
        <v>36</v>
      </c>
      <c r="H313" s="51"/>
      <c r="I313" s="52"/>
      <c r="J313" s="51"/>
      <c r="K313" s="52"/>
      <c r="L313" s="51">
        <f>SUM(BA307:BA314)</f>
        <v>2667.32</v>
      </c>
    </row>
    <row r="314" spans="1:82" ht="15" x14ac:dyDescent="0.2">
      <c r="C314" s="94" t="s">
        <v>375</v>
      </c>
      <c r="D314" s="94"/>
      <c r="E314" s="94"/>
      <c r="F314" s="94"/>
      <c r="G314" s="94"/>
      <c r="H314" s="94"/>
      <c r="I314" s="95">
        <f>K314/E307</f>
        <v>7779.69</v>
      </c>
      <c r="J314" s="95"/>
      <c r="K314" s="95">
        <f>L308+L312+L313</f>
        <v>15559.38</v>
      </c>
      <c r="L314" s="95"/>
      <c r="AD314">
        <f>ROUND((Source!AT146/100)*((ROUND(SUMIF(SmtRes!AQ54:'SmtRes'!AQ54,"=1",SmtRes!AD54:'SmtRes'!AD54)*Source!I146, 2)+ROUND(SUMIF(SmtRes!AQ54:'SmtRes'!AQ54,"=1",SmtRes!AC54:'SmtRes'!AC54)*Source!I146, 2))), 2)</f>
        <v>846.12</v>
      </c>
      <c r="AE314">
        <f>ROUND((Source!AU146/100)*((ROUND(SUMIF(SmtRes!AQ54:'SmtRes'!AQ54,"=1",SmtRes!AD54:'SmtRes'!AD54)*Source!I146, 2)+ROUND(SUMIF(SmtRes!AQ54:'SmtRes'!AQ54,"=1",SmtRes!AC54:'SmtRes'!AC54)*Source!I146, 2))), 2)</f>
        <v>411.62</v>
      </c>
      <c r="AN314" s="53">
        <f>L308+L312+L313</f>
        <v>15559.38</v>
      </c>
      <c r="AO314">
        <f>0</f>
        <v>0</v>
      </c>
      <c r="AQ314" t="s">
        <v>376</v>
      </c>
      <c r="AR314" s="53">
        <f>L308</f>
        <v>7409.23</v>
      </c>
      <c r="AT314">
        <f>0</f>
        <v>0</v>
      </c>
      <c r="AV314" t="s">
        <v>376</v>
      </c>
      <c r="AW314">
        <f>0</f>
        <v>0</v>
      </c>
      <c r="AZ314">
        <f>Source!X146</f>
        <v>5482.83</v>
      </c>
      <c r="BA314">
        <f>Source!Y146</f>
        <v>2667.32</v>
      </c>
      <c r="BR314" s="53">
        <f>K314</f>
        <v>15559.38</v>
      </c>
      <c r="BU314">
        <f>ROUND(K314*80/100, 2)</f>
        <v>12447.5</v>
      </c>
      <c r="BV314" s="53">
        <f>K314-BU314</f>
        <v>3111.8799999999992</v>
      </c>
      <c r="CB314">
        <f>Source!BM146</f>
        <v>200001</v>
      </c>
      <c r="CC314" t="str">
        <f>Source!E146</f>
        <v>14</v>
      </c>
      <c r="CD314">
        <v>4</v>
      </c>
    </row>
    <row r="315" spans="1:82" ht="28.5" x14ac:dyDescent="0.2">
      <c r="A315" s="38" t="s">
        <v>150</v>
      </c>
      <c r="B315" s="40" t="s">
        <v>419</v>
      </c>
      <c r="C315" s="40" t="str">
        <f>Source!G147</f>
        <v>Максимальная токовая защита прямого действия с: одним реле</v>
      </c>
      <c r="D315" s="41" t="str">
        <f>Source!H147</f>
        <v>КОМПЛ</v>
      </c>
      <c r="E315" s="42">
        <f>Source!K147</f>
        <v>2</v>
      </c>
      <c r="F315" s="42"/>
      <c r="G315" s="42">
        <f>Source!I147</f>
        <v>2</v>
      </c>
      <c r="H315" s="44"/>
      <c r="I315" s="43"/>
      <c r="J315" s="44"/>
      <c r="K315" s="43"/>
      <c r="L315" s="44"/>
    </row>
    <row r="316" spans="1:82" ht="15" x14ac:dyDescent="0.2">
      <c r="A316" s="39"/>
      <c r="B316" s="42">
        <v>1</v>
      </c>
      <c r="C316" s="39" t="s">
        <v>365</v>
      </c>
      <c r="D316" s="41" t="s">
        <v>264</v>
      </c>
      <c r="E316" s="46"/>
      <c r="F316" s="42"/>
      <c r="G316" s="46">
        <f>Source!U147</f>
        <v>7.2</v>
      </c>
      <c r="H316" s="42"/>
      <c r="I316" s="42"/>
      <c r="J316" s="42"/>
      <c r="K316" s="42"/>
      <c r="L316" s="47">
        <f>SUM(L317:L317)-SUMIF(CE317:CE317, 1, L317:L317)</f>
        <v>4116.24</v>
      </c>
    </row>
    <row r="317" spans="1:82" ht="14.25" x14ac:dyDescent="0.2">
      <c r="A317" s="40"/>
      <c r="B317" s="40" t="s">
        <v>312</v>
      </c>
      <c r="C317" s="48" t="s">
        <v>313</v>
      </c>
      <c r="D317" s="49" t="s">
        <v>311</v>
      </c>
      <c r="E317" s="50">
        <v>3.6</v>
      </c>
      <c r="F317" s="50"/>
      <c r="G317" s="50">
        <f>SmtRes!CX55</f>
        <v>7.2</v>
      </c>
      <c r="H317" s="51"/>
      <c r="I317" s="52"/>
      <c r="J317" s="51">
        <f>SmtRes!CZ55</f>
        <v>571.70000000000005</v>
      </c>
      <c r="K317" s="52"/>
      <c r="L317" s="51">
        <f>SmtRes!DI55</f>
        <v>4116.24</v>
      </c>
    </row>
    <row r="318" spans="1:82" ht="15" x14ac:dyDescent="0.2">
      <c r="A318" s="40"/>
      <c r="B318" s="40"/>
      <c r="C318" s="54" t="s">
        <v>371</v>
      </c>
      <c r="D318" s="41"/>
      <c r="E318" s="42"/>
      <c r="F318" s="42"/>
      <c r="G318" s="42"/>
      <c r="H318" s="44"/>
      <c r="I318" s="43"/>
      <c r="J318" s="44"/>
      <c r="K318" s="43"/>
      <c r="L318" s="44">
        <f>L316</f>
        <v>4116.24</v>
      </c>
    </row>
    <row r="319" spans="1:82" ht="14.25" x14ac:dyDescent="0.2">
      <c r="A319" s="40"/>
      <c r="B319" s="40"/>
      <c r="C319" s="40" t="s">
        <v>372</v>
      </c>
      <c r="D319" s="41"/>
      <c r="E319" s="42"/>
      <c r="F319" s="42"/>
      <c r="G319" s="42"/>
      <c r="H319" s="44"/>
      <c r="I319" s="43"/>
      <c r="J319" s="44"/>
      <c r="K319" s="43"/>
      <c r="L319" s="44">
        <f>SUM(AR315:AR322)+SUM(AS315:AS322)+SUM(AT315:AT322)+SUM(AU315:AU322)+SUM(AV315:AV322)</f>
        <v>4116.24</v>
      </c>
    </row>
    <row r="320" spans="1:82" ht="14.25" x14ac:dyDescent="0.2">
      <c r="A320" s="40"/>
      <c r="B320" s="40" t="s">
        <v>118</v>
      </c>
      <c r="C320" s="40" t="s">
        <v>410</v>
      </c>
      <c r="D320" s="41" t="s">
        <v>288</v>
      </c>
      <c r="E320" s="42">
        <f>Source!BZ147</f>
        <v>74</v>
      </c>
      <c r="F320" s="42"/>
      <c r="G320" s="42">
        <f>Source!AT147</f>
        <v>74</v>
      </c>
      <c r="H320" s="44"/>
      <c r="I320" s="43"/>
      <c r="J320" s="44"/>
      <c r="K320" s="43"/>
      <c r="L320" s="44">
        <f>SUM(AZ315:AZ322)</f>
        <v>3046.02</v>
      </c>
    </row>
    <row r="321" spans="1:82" ht="14.25" x14ac:dyDescent="0.2">
      <c r="A321" s="48"/>
      <c r="B321" s="48" t="s">
        <v>119</v>
      </c>
      <c r="C321" s="48" t="s">
        <v>411</v>
      </c>
      <c r="D321" s="49" t="s">
        <v>288</v>
      </c>
      <c r="E321" s="50">
        <f>Source!CA147</f>
        <v>36</v>
      </c>
      <c r="F321" s="50"/>
      <c r="G321" s="50">
        <f>Source!AU147</f>
        <v>36</v>
      </c>
      <c r="H321" s="51"/>
      <c r="I321" s="52"/>
      <c r="J321" s="51"/>
      <c r="K321" s="52"/>
      <c r="L321" s="51">
        <f>SUM(BA315:BA322)</f>
        <v>1481.85</v>
      </c>
    </row>
    <row r="322" spans="1:82" ht="15" x14ac:dyDescent="0.2">
      <c r="C322" s="94" t="s">
        <v>375</v>
      </c>
      <c r="D322" s="94"/>
      <c r="E322" s="94"/>
      <c r="F322" s="94"/>
      <c r="G322" s="94"/>
      <c r="H322" s="94"/>
      <c r="I322" s="95">
        <f>K322/E315</f>
        <v>4322.0550000000003</v>
      </c>
      <c r="J322" s="95"/>
      <c r="K322" s="95">
        <f>L316+L320+L321</f>
        <v>8644.11</v>
      </c>
      <c r="L322" s="95"/>
      <c r="AD322">
        <f>ROUND((Source!AT147/100)*((ROUND(SUMIF(SmtRes!AQ55:'SmtRes'!AQ55,"=1",SmtRes!AD55:'SmtRes'!AD55)*Source!I147, 2)+ROUND(SUMIF(SmtRes!AQ55:'SmtRes'!AQ55,"=1",SmtRes!AC55:'SmtRes'!AC55)*Source!I147, 2))), 2)</f>
        <v>846.12</v>
      </c>
      <c r="AE322">
        <f>ROUND((Source!AU147/100)*((ROUND(SUMIF(SmtRes!AQ55:'SmtRes'!AQ55,"=1",SmtRes!AD55:'SmtRes'!AD55)*Source!I147, 2)+ROUND(SUMIF(SmtRes!AQ55:'SmtRes'!AQ55,"=1",SmtRes!AC55:'SmtRes'!AC55)*Source!I147, 2))), 2)</f>
        <v>411.62</v>
      </c>
      <c r="AN322" s="53">
        <f>L316+L320+L321</f>
        <v>8644.11</v>
      </c>
      <c r="AO322">
        <f>0</f>
        <v>0</v>
      </c>
      <c r="AQ322" t="s">
        <v>376</v>
      </c>
      <c r="AR322" s="53">
        <f>L316</f>
        <v>4116.24</v>
      </c>
      <c r="AT322">
        <f>0</f>
        <v>0</v>
      </c>
      <c r="AV322" t="s">
        <v>376</v>
      </c>
      <c r="AW322">
        <f>0</f>
        <v>0</v>
      </c>
      <c r="AZ322">
        <f>Source!X147</f>
        <v>3046.02</v>
      </c>
      <c r="BA322">
        <f>Source!Y147</f>
        <v>1481.85</v>
      </c>
      <c r="BR322" s="53">
        <f>K322</f>
        <v>8644.11</v>
      </c>
      <c r="BU322">
        <f>ROUND(K322*80/100, 2)</f>
        <v>6915.29</v>
      </c>
      <c r="BV322" s="53">
        <f>K322-BU322</f>
        <v>1728.8200000000006</v>
      </c>
      <c r="CB322">
        <f>Source!BM147</f>
        <v>200001</v>
      </c>
      <c r="CC322" t="str">
        <f>Source!E147</f>
        <v>15</v>
      </c>
      <c r="CD322">
        <v>4</v>
      </c>
    </row>
    <row r="323" spans="1:82" ht="28.5" x14ac:dyDescent="0.2">
      <c r="A323" s="38" t="s">
        <v>154</v>
      </c>
      <c r="B323" s="40" t="s">
        <v>420</v>
      </c>
      <c r="C323" s="40" t="str">
        <f>Source!G148</f>
        <v>Испытание кабеля силового длиной до 500 м напряжением: до 10 кВ</v>
      </c>
      <c r="D323" s="41" t="str">
        <f>Source!H148</f>
        <v>испытание</v>
      </c>
      <c r="E323" s="42">
        <f>Source!K148</f>
        <v>2</v>
      </c>
      <c r="F323" s="42"/>
      <c r="G323" s="42">
        <f>Source!I148</f>
        <v>2</v>
      </c>
      <c r="H323" s="44"/>
      <c r="I323" s="43"/>
      <c r="J323" s="44"/>
      <c r="K323" s="43"/>
      <c r="L323" s="44"/>
    </row>
    <row r="324" spans="1:82" ht="15" x14ac:dyDescent="0.2">
      <c r="A324" s="39"/>
      <c r="B324" s="42">
        <v>1</v>
      </c>
      <c r="C324" s="39" t="s">
        <v>365</v>
      </c>
      <c r="D324" s="41" t="s">
        <v>264</v>
      </c>
      <c r="E324" s="46"/>
      <c r="F324" s="42"/>
      <c r="G324" s="46">
        <f>Source!U148</f>
        <v>9.7199999999999989</v>
      </c>
      <c r="H324" s="42"/>
      <c r="I324" s="42"/>
      <c r="J324" s="42"/>
      <c r="K324" s="42"/>
      <c r="L324" s="47">
        <f>SUM(L325:L326)-SUMIF(CE325:CE326, 1, L325:L326)</f>
        <v>5027.58</v>
      </c>
    </row>
    <row r="325" spans="1:82" ht="14.25" x14ac:dyDescent="0.2">
      <c r="A325" s="40"/>
      <c r="B325" s="40" t="s">
        <v>314</v>
      </c>
      <c r="C325" s="40" t="s">
        <v>315</v>
      </c>
      <c r="D325" s="41" t="s">
        <v>311</v>
      </c>
      <c r="E325" s="42">
        <v>1.94</v>
      </c>
      <c r="F325" s="42"/>
      <c r="G325" s="42">
        <f>SmtRes!CX56</f>
        <v>3.88</v>
      </c>
      <c r="H325" s="44"/>
      <c r="I325" s="43"/>
      <c r="J325" s="44">
        <f>SmtRes!CZ56</f>
        <v>435.27</v>
      </c>
      <c r="K325" s="43"/>
      <c r="L325" s="44">
        <f>SmtRes!DI56</f>
        <v>1688.85</v>
      </c>
    </row>
    <row r="326" spans="1:82" ht="14.25" x14ac:dyDescent="0.2">
      <c r="A326" s="40"/>
      <c r="B326" s="40" t="s">
        <v>312</v>
      </c>
      <c r="C326" s="48" t="s">
        <v>313</v>
      </c>
      <c r="D326" s="49" t="s">
        <v>311</v>
      </c>
      <c r="E326" s="50">
        <v>2.92</v>
      </c>
      <c r="F326" s="50"/>
      <c r="G326" s="50">
        <f>SmtRes!CX57</f>
        <v>5.84</v>
      </c>
      <c r="H326" s="51"/>
      <c r="I326" s="52"/>
      <c r="J326" s="51">
        <f>SmtRes!CZ57</f>
        <v>571.70000000000005</v>
      </c>
      <c r="K326" s="52"/>
      <c r="L326" s="51">
        <f>SmtRes!DI57</f>
        <v>3338.73</v>
      </c>
    </row>
    <row r="327" spans="1:82" ht="15" x14ac:dyDescent="0.2">
      <c r="A327" s="40"/>
      <c r="B327" s="40"/>
      <c r="C327" s="54" t="s">
        <v>371</v>
      </c>
      <c r="D327" s="41"/>
      <c r="E327" s="42"/>
      <c r="F327" s="42"/>
      <c r="G327" s="42"/>
      <c r="H327" s="44"/>
      <c r="I327" s="43"/>
      <c r="J327" s="44"/>
      <c r="K327" s="43"/>
      <c r="L327" s="44">
        <f>L324</f>
        <v>5027.58</v>
      </c>
    </row>
    <row r="328" spans="1:82" ht="14.25" x14ac:dyDescent="0.2">
      <c r="A328" s="40"/>
      <c r="B328" s="40"/>
      <c r="C328" s="40" t="s">
        <v>372</v>
      </c>
      <c r="D328" s="41"/>
      <c r="E328" s="42"/>
      <c r="F328" s="42"/>
      <c r="G328" s="42"/>
      <c r="H328" s="44"/>
      <c r="I328" s="43"/>
      <c r="J328" s="44"/>
      <c r="K328" s="43"/>
      <c r="L328" s="44">
        <f>SUM(AR323:AR331)+SUM(AS323:AS331)+SUM(AT323:AT331)+SUM(AU323:AU331)+SUM(AV323:AV331)</f>
        <v>5027.58</v>
      </c>
    </row>
    <row r="329" spans="1:82" ht="14.25" x14ac:dyDescent="0.2">
      <c r="A329" s="40"/>
      <c r="B329" s="40" t="s">
        <v>118</v>
      </c>
      <c r="C329" s="40" t="s">
        <v>410</v>
      </c>
      <c r="D329" s="41" t="s">
        <v>288</v>
      </c>
      <c r="E329" s="42">
        <f>Source!BZ148</f>
        <v>74</v>
      </c>
      <c r="F329" s="42"/>
      <c r="G329" s="42">
        <f>Source!AT148</f>
        <v>74</v>
      </c>
      <c r="H329" s="44"/>
      <c r="I329" s="43"/>
      <c r="J329" s="44"/>
      <c r="K329" s="43"/>
      <c r="L329" s="44">
        <f>SUM(AZ323:AZ331)</f>
        <v>3720.41</v>
      </c>
    </row>
    <row r="330" spans="1:82" ht="14.25" x14ac:dyDescent="0.2">
      <c r="A330" s="48"/>
      <c r="B330" s="48" t="s">
        <v>119</v>
      </c>
      <c r="C330" s="48" t="s">
        <v>411</v>
      </c>
      <c r="D330" s="49" t="s">
        <v>288</v>
      </c>
      <c r="E330" s="50">
        <f>Source!CA148</f>
        <v>36</v>
      </c>
      <c r="F330" s="50"/>
      <c r="G330" s="50">
        <f>Source!AU148</f>
        <v>36</v>
      </c>
      <c r="H330" s="51"/>
      <c r="I330" s="52"/>
      <c r="J330" s="51"/>
      <c r="K330" s="52"/>
      <c r="L330" s="51">
        <f>SUM(BA323:BA331)</f>
        <v>1809.93</v>
      </c>
    </row>
    <row r="331" spans="1:82" ht="15" x14ac:dyDescent="0.2">
      <c r="C331" s="94" t="s">
        <v>375</v>
      </c>
      <c r="D331" s="94"/>
      <c r="E331" s="94"/>
      <c r="F331" s="94"/>
      <c r="G331" s="94"/>
      <c r="H331" s="94"/>
      <c r="I331" s="95">
        <f>K331/E323</f>
        <v>5278.96</v>
      </c>
      <c r="J331" s="95"/>
      <c r="K331" s="95">
        <f>L324+L329+L330</f>
        <v>10557.92</v>
      </c>
      <c r="L331" s="95"/>
      <c r="AD331">
        <f>ROUND((Source!AT148/100)*((ROUND(SUMIF(SmtRes!AQ56:'SmtRes'!AQ57,"=1",SmtRes!AD56:'SmtRes'!AD57)*Source!I148, 2)+ROUND(SUMIF(SmtRes!AQ56:'SmtRes'!AQ57,"=1",SmtRes!AC56:'SmtRes'!AC57)*Source!I148, 2))), 2)</f>
        <v>1490.32</v>
      </c>
      <c r="AE331">
        <f>ROUND((Source!AU148/100)*((ROUND(SUMIF(SmtRes!AQ56:'SmtRes'!AQ57,"=1",SmtRes!AD56:'SmtRes'!AD57)*Source!I148, 2)+ROUND(SUMIF(SmtRes!AQ56:'SmtRes'!AQ57,"=1",SmtRes!AC56:'SmtRes'!AC57)*Source!I148, 2))), 2)</f>
        <v>725.02</v>
      </c>
      <c r="AN331" s="53">
        <f>L324+L329+L330</f>
        <v>10557.92</v>
      </c>
      <c r="AO331">
        <f>0</f>
        <v>0</v>
      </c>
      <c r="AQ331" t="s">
        <v>376</v>
      </c>
      <c r="AR331" s="53">
        <f>L324</f>
        <v>5027.58</v>
      </c>
      <c r="AT331">
        <f>0</f>
        <v>0</v>
      </c>
      <c r="AV331" t="s">
        <v>376</v>
      </c>
      <c r="AW331">
        <f>0</f>
        <v>0</v>
      </c>
      <c r="AZ331">
        <f>Source!X148</f>
        <v>3720.41</v>
      </c>
      <c r="BA331">
        <f>Source!Y148</f>
        <v>1809.93</v>
      </c>
      <c r="BR331" s="53">
        <f>K331</f>
        <v>10557.92</v>
      </c>
      <c r="BU331">
        <f>ROUND(K331*80/100, 2)</f>
        <v>8446.34</v>
      </c>
      <c r="BV331" s="53">
        <f>K331-BU331</f>
        <v>2111.58</v>
      </c>
      <c r="CB331">
        <f>Source!BM148</f>
        <v>200001</v>
      </c>
      <c r="CC331" t="str">
        <f>Source!E148</f>
        <v>16</v>
      </c>
      <c r="CD331">
        <v>4</v>
      </c>
    </row>
    <row r="332" spans="1:82" ht="114" x14ac:dyDescent="0.2">
      <c r="A332" s="38" t="s">
        <v>158</v>
      </c>
      <c r="B332" s="40" t="s">
        <v>421</v>
      </c>
      <c r="C332" s="40" t="str">
        <f>Source!G149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332" s="41" t="str">
        <f>Source!H149</f>
        <v>ШТ</v>
      </c>
      <c r="E332" s="42">
        <f>Source!K149</f>
        <v>6</v>
      </c>
      <c r="F332" s="42"/>
      <c r="G332" s="42">
        <f>Source!I149</f>
        <v>6</v>
      </c>
      <c r="H332" s="44"/>
      <c r="I332" s="43"/>
      <c r="J332" s="44"/>
      <c r="K332" s="43"/>
      <c r="L332" s="44"/>
    </row>
    <row r="333" spans="1:82" ht="15" x14ac:dyDescent="0.2">
      <c r="A333" s="39"/>
      <c r="B333" s="42">
        <v>1</v>
      </c>
      <c r="C333" s="39" t="s">
        <v>365</v>
      </c>
      <c r="D333" s="41" t="s">
        <v>264</v>
      </c>
      <c r="E333" s="46"/>
      <c r="F333" s="42"/>
      <c r="G333" s="46">
        <f>Source!U149</f>
        <v>1.92</v>
      </c>
      <c r="H333" s="42"/>
      <c r="I333" s="42"/>
      <c r="J333" s="42"/>
      <c r="K333" s="42"/>
      <c r="L333" s="47">
        <f>SUM(L334:L335)-SUMIF(CE334:CE335, 1, L334:L335)</f>
        <v>1110.1300000000001</v>
      </c>
    </row>
    <row r="334" spans="1:82" ht="14.25" x14ac:dyDescent="0.2">
      <c r="A334" s="40"/>
      <c r="B334" s="40" t="s">
        <v>309</v>
      </c>
      <c r="C334" s="40" t="s">
        <v>310</v>
      </c>
      <c r="D334" s="41" t="s">
        <v>311</v>
      </c>
      <c r="E334" s="42">
        <v>0.16</v>
      </c>
      <c r="F334" s="42"/>
      <c r="G334" s="42">
        <f>SmtRes!CX58</f>
        <v>0.96</v>
      </c>
      <c r="H334" s="44"/>
      <c r="I334" s="43"/>
      <c r="J334" s="44">
        <f>SmtRes!CZ58</f>
        <v>584.69000000000005</v>
      </c>
      <c r="K334" s="43"/>
      <c r="L334" s="44">
        <f>SmtRes!DI58</f>
        <v>561.29999999999995</v>
      </c>
    </row>
    <row r="335" spans="1:82" ht="14.25" x14ac:dyDescent="0.2">
      <c r="A335" s="40"/>
      <c r="B335" s="40" t="s">
        <v>312</v>
      </c>
      <c r="C335" s="48" t="s">
        <v>313</v>
      </c>
      <c r="D335" s="49" t="s">
        <v>311</v>
      </c>
      <c r="E335" s="50">
        <v>0.16</v>
      </c>
      <c r="F335" s="50"/>
      <c r="G335" s="50">
        <f>SmtRes!CX59</f>
        <v>0.96</v>
      </c>
      <c r="H335" s="51"/>
      <c r="I335" s="52"/>
      <c r="J335" s="51">
        <f>SmtRes!CZ59</f>
        <v>571.70000000000005</v>
      </c>
      <c r="K335" s="52"/>
      <c r="L335" s="51">
        <f>SmtRes!DI59</f>
        <v>548.83000000000004</v>
      </c>
    </row>
    <row r="336" spans="1:82" ht="15" x14ac:dyDescent="0.2">
      <c r="A336" s="40"/>
      <c r="B336" s="40"/>
      <c r="C336" s="54" t="s">
        <v>371</v>
      </c>
      <c r="D336" s="41"/>
      <c r="E336" s="42"/>
      <c r="F336" s="42"/>
      <c r="G336" s="42"/>
      <c r="H336" s="44"/>
      <c r="I336" s="43"/>
      <c r="J336" s="44"/>
      <c r="K336" s="43"/>
      <c r="L336" s="44">
        <f>L333</f>
        <v>1110.1300000000001</v>
      </c>
    </row>
    <row r="337" spans="1:82" ht="14.25" x14ac:dyDescent="0.2">
      <c r="A337" s="40"/>
      <c r="B337" s="40"/>
      <c r="C337" s="40" t="s">
        <v>372</v>
      </c>
      <c r="D337" s="41"/>
      <c r="E337" s="42"/>
      <c r="F337" s="42"/>
      <c r="G337" s="42"/>
      <c r="H337" s="44"/>
      <c r="I337" s="43"/>
      <c r="J337" s="44"/>
      <c r="K337" s="43"/>
      <c r="L337" s="44">
        <f>SUM(AR332:AR340)+SUM(AS332:AS340)+SUM(AT332:AT340)+SUM(AU332:AU340)+SUM(AV332:AV340)</f>
        <v>1110.1300000000001</v>
      </c>
    </row>
    <row r="338" spans="1:82" ht="14.25" x14ac:dyDescent="0.2">
      <c r="A338" s="40"/>
      <c r="B338" s="40" t="s">
        <v>118</v>
      </c>
      <c r="C338" s="40" t="s">
        <v>410</v>
      </c>
      <c r="D338" s="41" t="s">
        <v>288</v>
      </c>
      <c r="E338" s="42">
        <f>Source!BZ149</f>
        <v>74</v>
      </c>
      <c r="F338" s="42"/>
      <c r="G338" s="42">
        <f>Source!AT149</f>
        <v>74</v>
      </c>
      <c r="H338" s="44"/>
      <c r="I338" s="43"/>
      <c r="J338" s="44"/>
      <c r="K338" s="43"/>
      <c r="L338" s="44">
        <f>SUM(AZ332:AZ340)</f>
        <v>821.5</v>
      </c>
    </row>
    <row r="339" spans="1:82" ht="14.25" x14ac:dyDescent="0.2">
      <c r="A339" s="48"/>
      <c r="B339" s="48" t="s">
        <v>119</v>
      </c>
      <c r="C339" s="48" t="s">
        <v>411</v>
      </c>
      <c r="D339" s="49" t="s">
        <v>288</v>
      </c>
      <c r="E339" s="50">
        <f>Source!CA149</f>
        <v>36</v>
      </c>
      <c r="F339" s="50"/>
      <c r="G339" s="50">
        <f>Source!AU149</f>
        <v>36</v>
      </c>
      <c r="H339" s="51"/>
      <c r="I339" s="52"/>
      <c r="J339" s="51"/>
      <c r="K339" s="52"/>
      <c r="L339" s="51">
        <f>SUM(BA332:BA340)</f>
        <v>399.65</v>
      </c>
    </row>
    <row r="340" spans="1:82" ht="15" x14ac:dyDescent="0.2">
      <c r="C340" s="94" t="s">
        <v>375</v>
      </c>
      <c r="D340" s="94"/>
      <c r="E340" s="94"/>
      <c r="F340" s="94"/>
      <c r="G340" s="94"/>
      <c r="H340" s="94"/>
      <c r="I340" s="95">
        <f>K340/E332</f>
        <v>388.54666666666668</v>
      </c>
      <c r="J340" s="95"/>
      <c r="K340" s="95">
        <f>L333+L338+L339</f>
        <v>2331.2800000000002</v>
      </c>
      <c r="L340" s="95"/>
      <c r="AD340">
        <f>ROUND((Source!AT149/100)*((ROUND(SUMIF(SmtRes!AQ58:'SmtRes'!AQ59,"=1",SmtRes!AD58:'SmtRes'!AD59)*Source!I149, 2)+ROUND(SUMIF(SmtRes!AQ58:'SmtRes'!AQ59,"=1",SmtRes!AC58:'SmtRes'!AC59)*Source!I149, 2))), 2)</f>
        <v>5134.37</v>
      </c>
      <c r="AE340">
        <f>ROUND((Source!AU149/100)*((ROUND(SUMIF(SmtRes!AQ58:'SmtRes'!AQ59,"=1",SmtRes!AD58:'SmtRes'!AD59)*Source!I149, 2)+ROUND(SUMIF(SmtRes!AQ58:'SmtRes'!AQ59,"=1",SmtRes!AC58:'SmtRes'!AC59)*Source!I149, 2))), 2)</f>
        <v>2497.8000000000002</v>
      </c>
      <c r="AN340" s="53">
        <f>L333+L338+L339</f>
        <v>2331.2800000000002</v>
      </c>
      <c r="AO340">
        <f>0</f>
        <v>0</v>
      </c>
      <c r="AQ340" t="s">
        <v>376</v>
      </c>
      <c r="AR340" s="53">
        <f>L333</f>
        <v>1110.1300000000001</v>
      </c>
      <c r="AT340">
        <f>0</f>
        <v>0</v>
      </c>
      <c r="AV340" t="s">
        <v>376</v>
      </c>
      <c r="AW340">
        <f>0</f>
        <v>0</v>
      </c>
      <c r="AZ340">
        <f>Source!X149</f>
        <v>821.5</v>
      </c>
      <c r="BA340">
        <f>Source!Y149</f>
        <v>399.65</v>
      </c>
      <c r="BR340" s="53">
        <f>K340</f>
        <v>2331.2800000000002</v>
      </c>
      <c r="BU340">
        <f>ROUND(K340*80/100, 2)</f>
        <v>1865.02</v>
      </c>
      <c r="BV340" s="53">
        <f>K340-BU340</f>
        <v>466.26000000000022</v>
      </c>
      <c r="CB340">
        <f>Source!BM149</f>
        <v>200001</v>
      </c>
      <c r="CC340" t="str">
        <f>Source!E149</f>
        <v>17</v>
      </c>
      <c r="CD340">
        <v>4</v>
      </c>
    </row>
    <row r="341" spans="1:82" ht="28.5" x14ac:dyDescent="0.2">
      <c r="A341" s="38" t="s">
        <v>162</v>
      </c>
      <c r="B341" s="40" t="s">
        <v>422</v>
      </c>
      <c r="C341" s="40" t="str">
        <f>Source!G150</f>
        <v>Измерение сопротивления растеканию тока: заземлителя</v>
      </c>
      <c r="D341" s="41" t="str">
        <f>Source!H150</f>
        <v>измерение</v>
      </c>
      <c r="E341" s="42">
        <f>Source!K150</f>
        <v>2</v>
      </c>
      <c r="F341" s="42"/>
      <c r="G341" s="42">
        <f>Source!I150</f>
        <v>2</v>
      </c>
      <c r="H341" s="44"/>
      <c r="I341" s="43"/>
      <c r="J341" s="44"/>
      <c r="K341" s="43"/>
      <c r="L341" s="44"/>
    </row>
    <row r="342" spans="1:82" ht="15" x14ac:dyDescent="0.2">
      <c r="A342" s="39"/>
      <c r="B342" s="42">
        <v>1</v>
      </c>
      <c r="C342" s="39" t="s">
        <v>365</v>
      </c>
      <c r="D342" s="41" t="s">
        <v>264</v>
      </c>
      <c r="E342" s="46"/>
      <c r="F342" s="42"/>
      <c r="G342" s="46">
        <f>Source!U150</f>
        <v>2</v>
      </c>
      <c r="H342" s="42"/>
      <c r="I342" s="42"/>
      <c r="J342" s="42"/>
      <c r="K342" s="42"/>
      <c r="L342" s="47">
        <f>SUM(L343:L344)-SUMIF(CE343:CE344, 1, L343:L344)</f>
        <v>1156.3900000000001</v>
      </c>
    </row>
    <row r="343" spans="1:82" ht="14.25" x14ac:dyDescent="0.2">
      <c r="A343" s="40"/>
      <c r="B343" s="40" t="s">
        <v>309</v>
      </c>
      <c r="C343" s="40" t="s">
        <v>310</v>
      </c>
      <c r="D343" s="41" t="s">
        <v>311</v>
      </c>
      <c r="E343" s="42">
        <v>0.5</v>
      </c>
      <c r="F343" s="42"/>
      <c r="G343" s="42">
        <f>SmtRes!CX60</f>
        <v>1</v>
      </c>
      <c r="H343" s="44"/>
      <c r="I343" s="43"/>
      <c r="J343" s="44">
        <f>SmtRes!CZ60</f>
        <v>584.69000000000005</v>
      </c>
      <c r="K343" s="43"/>
      <c r="L343" s="44">
        <f>SmtRes!DI60</f>
        <v>584.69000000000005</v>
      </c>
    </row>
    <row r="344" spans="1:82" ht="14.25" x14ac:dyDescent="0.2">
      <c r="A344" s="40"/>
      <c r="B344" s="40" t="s">
        <v>312</v>
      </c>
      <c r="C344" s="48" t="s">
        <v>313</v>
      </c>
      <c r="D344" s="49" t="s">
        <v>311</v>
      </c>
      <c r="E344" s="50">
        <v>0.5</v>
      </c>
      <c r="F344" s="50"/>
      <c r="G344" s="50">
        <f>SmtRes!CX61</f>
        <v>1</v>
      </c>
      <c r="H344" s="51"/>
      <c r="I344" s="52"/>
      <c r="J344" s="51">
        <f>SmtRes!CZ61</f>
        <v>571.70000000000005</v>
      </c>
      <c r="K344" s="52"/>
      <c r="L344" s="51">
        <f>SmtRes!DI61</f>
        <v>571.70000000000005</v>
      </c>
    </row>
    <row r="345" spans="1:82" ht="15" x14ac:dyDescent="0.2">
      <c r="A345" s="40"/>
      <c r="B345" s="40"/>
      <c r="C345" s="54" t="s">
        <v>371</v>
      </c>
      <c r="D345" s="41"/>
      <c r="E345" s="42"/>
      <c r="F345" s="42"/>
      <c r="G345" s="42"/>
      <c r="H345" s="44"/>
      <c r="I345" s="43"/>
      <c r="J345" s="44"/>
      <c r="K345" s="43"/>
      <c r="L345" s="44">
        <f>L342</f>
        <v>1156.3900000000001</v>
      </c>
    </row>
    <row r="346" spans="1:82" ht="14.25" x14ac:dyDescent="0.2">
      <c r="A346" s="40"/>
      <c r="B346" s="40"/>
      <c r="C346" s="40" t="s">
        <v>372</v>
      </c>
      <c r="D346" s="41"/>
      <c r="E346" s="42"/>
      <c r="F346" s="42"/>
      <c r="G346" s="42"/>
      <c r="H346" s="44"/>
      <c r="I346" s="43"/>
      <c r="J346" s="44"/>
      <c r="K346" s="43"/>
      <c r="L346" s="44">
        <f>SUM(AR341:AR349)+SUM(AS341:AS349)+SUM(AT341:AT349)+SUM(AU341:AU349)+SUM(AV341:AV349)</f>
        <v>1156.3900000000001</v>
      </c>
    </row>
    <row r="347" spans="1:82" ht="14.25" x14ac:dyDescent="0.2">
      <c r="A347" s="40"/>
      <c r="B347" s="40" t="s">
        <v>118</v>
      </c>
      <c r="C347" s="40" t="s">
        <v>410</v>
      </c>
      <c r="D347" s="41" t="s">
        <v>288</v>
      </c>
      <c r="E347" s="42">
        <f>Source!BZ150</f>
        <v>74</v>
      </c>
      <c r="F347" s="42"/>
      <c r="G347" s="42">
        <f>Source!AT150</f>
        <v>74</v>
      </c>
      <c r="H347" s="44"/>
      <c r="I347" s="43"/>
      <c r="J347" s="44"/>
      <c r="K347" s="43"/>
      <c r="L347" s="44">
        <f>SUM(AZ341:AZ349)</f>
        <v>855.73</v>
      </c>
    </row>
    <row r="348" spans="1:82" ht="14.25" x14ac:dyDescent="0.2">
      <c r="A348" s="48"/>
      <c r="B348" s="48" t="s">
        <v>119</v>
      </c>
      <c r="C348" s="48" t="s">
        <v>411</v>
      </c>
      <c r="D348" s="49" t="s">
        <v>288</v>
      </c>
      <c r="E348" s="50">
        <f>Source!CA150</f>
        <v>36</v>
      </c>
      <c r="F348" s="50"/>
      <c r="G348" s="50">
        <f>Source!AU150</f>
        <v>36</v>
      </c>
      <c r="H348" s="51"/>
      <c r="I348" s="52"/>
      <c r="J348" s="51"/>
      <c r="K348" s="52"/>
      <c r="L348" s="51">
        <f>SUM(BA341:BA349)</f>
        <v>416.3</v>
      </c>
    </row>
    <row r="349" spans="1:82" ht="15" x14ac:dyDescent="0.2">
      <c r="C349" s="94" t="s">
        <v>375</v>
      </c>
      <c r="D349" s="94"/>
      <c r="E349" s="94"/>
      <c r="F349" s="94"/>
      <c r="G349" s="94"/>
      <c r="H349" s="94"/>
      <c r="I349" s="95">
        <f>K349/E341</f>
        <v>1214.21</v>
      </c>
      <c r="J349" s="95"/>
      <c r="K349" s="95">
        <f>L342+L347+L348</f>
        <v>2428.42</v>
      </c>
      <c r="L349" s="95"/>
      <c r="AD349">
        <f>ROUND((Source!AT150/100)*((ROUND(SUMIF(SmtRes!AQ60:'SmtRes'!AQ61,"=1",SmtRes!AD60:'SmtRes'!AD61)*Source!I150, 2)+ROUND(SUMIF(SmtRes!AQ60:'SmtRes'!AQ61,"=1",SmtRes!AC60:'SmtRes'!AC61)*Source!I150, 2))), 2)</f>
        <v>1711.46</v>
      </c>
      <c r="AE349">
        <f>ROUND((Source!AU150/100)*((ROUND(SUMIF(SmtRes!AQ60:'SmtRes'!AQ61,"=1",SmtRes!AD60:'SmtRes'!AD61)*Source!I150, 2)+ROUND(SUMIF(SmtRes!AQ60:'SmtRes'!AQ61,"=1",SmtRes!AC60:'SmtRes'!AC61)*Source!I150, 2))), 2)</f>
        <v>832.6</v>
      </c>
      <c r="AN349" s="53">
        <f>L342+L347+L348</f>
        <v>2428.42</v>
      </c>
      <c r="AO349">
        <f>0</f>
        <v>0</v>
      </c>
      <c r="AQ349" t="s">
        <v>376</v>
      </c>
      <c r="AR349" s="53">
        <f>L342</f>
        <v>1156.3900000000001</v>
      </c>
      <c r="AT349">
        <f>0</f>
        <v>0</v>
      </c>
      <c r="AV349" t="s">
        <v>376</v>
      </c>
      <c r="AW349">
        <f>0</f>
        <v>0</v>
      </c>
      <c r="AZ349">
        <f>Source!X150</f>
        <v>855.73</v>
      </c>
      <c r="BA349">
        <f>Source!Y150</f>
        <v>416.3</v>
      </c>
      <c r="BR349" s="53">
        <f>K349</f>
        <v>2428.42</v>
      </c>
      <c r="BU349">
        <f>ROUND(K349*80/100, 2)</f>
        <v>1942.74</v>
      </c>
      <c r="BV349" s="53">
        <f>K349-BU349</f>
        <v>485.68000000000006</v>
      </c>
      <c r="CB349">
        <f>Source!BM150</f>
        <v>200001</v>
      </c>
      <c r="CC349" t="str">
        <f>Source!E150</f>
        <v>18</v>
      </c>
      <c r="CD349">
        <v>4</v>
      </c>
    </row>
    <row r="350" spans="1:82" ht="28.5" x14ac:dyDescent="0.2">
      <c r="A350" s="38" t="s">
        <v>167</v>
      </c>
      <c r="B350" s="40" t="s">
        <v>423</v>
      </c>
      <c r="C350" s="40" t="str">
        <f>Source!G151</f>
        <v>Измерение сопротивления растеканию тока: контура с диагональю до 20 м</v>
      </c>
      <c r="D350" s="41" t="str">
        <f>Source!H151</f>
        <v>измерение</v>
      </c>
      <c r="E350" s="42">
        <f>Source!K151</f>
        <v>2</v>
      </c>
      <c r="F350" s="42"/>
      <c r="G350" s="42">
        <f>Source!I151</f>
        <v>2</v>
      </c>
      <c r="H350" s="44"/>
      <c r="I350" s="43"/>
      <c r="J350" s="44"/>
      <c r="K350" s="43"/>
      <c r="L350" s="44"/>
    </row>
    <row r="351" spans="1:82" ht="15" x14ac:dyDescent="0.2">
      <c r="A351" s="39"/>
      <c r="B351" s="42">
        <v>1</v>
      </c>
      <c r="C351" s="39" t="s">
        <v>365</v>
      </c>
      <c r="D351" s="41" t="s">
        <v>264</v>
      </c>
      <c r="E351" s="46"/>
      <c r="F351" s="42"/>
      <c r="G351" s="46">
        <f>Source!U151</f>
        <v>3.24</v>
      </c>
      <c r="H351" s="42"/>
      <c r="I351" s="42"/>
      <c r="J351" s="42"/>
      <c r="K351" s="42"/>
      <c r="L351" s="47">
        <f>SUM(L352:L353)-SUMIF(CE352:CE353, 1, L352:L353)</f>
        <v>1873.35</v>
      </c>
    </row>
    <row r="352" spans="1:82" ht="14.25" x14ac:dyDescent="0.2">
      <c r="A352" s="40"/>
      <c r="B352" s="40" t="s">
        <v>309</v>
      </c>
      <c r="C352" s="40" t="s">
        <v>310</v>
      </c>
      <c r="D352" s="41" t="s">
        <v>311</v>
      </c>
      <c r="E352" s="42">
        <v>0.81</v>
      </c>
      <c r="F352" s="42"/>
      <c r="G352" s="42">
        <f>SmtRes!CX62</f>
        <v>1.62</v>
      </c>
      <c r="H352" s="44"/>
      <c r="I352" s="43"/>
      <c r="J352" s="44">
        <f>SmtRes!CZ62</f>
        <v>584.69000000000005</v>
      </c>
      <c r="K352" s="43"/>
      <c r="L352" s="44">
        <f>SmtRes!DI62</f>
        <v>947.2</v>
      </c>
    </row>
    <row r="353" spans="1:82" ht="14.25" x14ac:dyDescent="0.2">
      <c r="A353" s="40"/>
      <c r="B353" s="40" t="s">
        <v>312</v>
      </c>
      <c r="C353" s="48" t="s">
        <v>313</v>
      </c>
      <c r="D353" s="49" t="s">
        <v>311</v>
      </c>
      <c r="E353" s="50">
        <v>0.81</v>
      </c>
      <c r="F353" s="50"/>
      <c r="G353" s="50">
        <f>SmtRes!CX63</f>
        <v>1.62</v>
      </c>
      <c r="H353" s="51"/>
      <c r="I353" s="52"/>
      <c r="J353" s="51">
        <f>SmtRes!CZ63</f>
        <v>571.70000000000005</v>
      </c>
      <c r="K353" s="52"/>
      <c r="L353" s="51">
        <f>SmtRes!DI63</f>
        <v>926.15</v>
      </c>
    </row>
    <row r="354" spans="1:82" ht="15" x14ac:dyDescent="0.2">
      <c r="A354" s="40"/>
      <c r="B354" s="40"/>
      <c r="C354" s="54" t="s">
        <v>371</v>
      </c>
      <c r="D354" s="41"/>
      <c r="E354" s="42"/>
      <c r="F354" s="42"/>
      <c r="G354" s="42"/>
      <c r="H354" s="44"/>
      <c r="I354" s="43"/>
      <c r="J354" s="44"/>
      <c r="K354" s="43"/>
      <c r="L354" s="44">
        <f>L351</f>
        <v>1873.35</v>
      </c>
    </row>
    <row r="355" spans="1:82" ht="14.25" x14ac:dyDescent="0.2">
      <c r="A355" s="40"/>
      <c r="B355" s="40"/>
      <c r="C355" s="40" t="s">
        <v>372</v>
      </c>
      <c r="D355" s="41"/>
      <c r="E355" s="42"/>
      <c r="F355" s="42"/>
      <c r="G355" s="42"/>
      <c r="H355" s="44"/>
      <c r="I355" s="43"/>
      <c r="J355" s="44"/>
      <c r="K355" s="43"/>
      <c r="L355" s="44">
        <f>SUM(AR350:AR358)+SUM(AS350:AS358)+SUM(AT350:AT358)+SUM(AU350:AU358)+SUM(AV350:AV358)</f>
        <v>1873.35</v>
      </c>
    </row>
    <row r="356" spans="1:82" ht="14.25" x14ac:dyDescent="0.2">
      <c r="A356" s="40"/>
      <c r="B356" s="40" t="s">
        <v>118</v>
      </c>
      <c r="C356" s="40" t="s">
        <v>410</v>
      </c>
      <c r="D356" s="41" t="s">
        <v>288</v>
      </c>
      <c r="E356" s="42">
        <f>Source!BZ151</f>
        <v>74</v>
      </c>
      <c r="F356" s="42"/>
      <c r="G356" s="42">
        <f>Source!AT151</f>
        <v>74</v>
      </c>
      <c r="H356" s="44"/>
      <c r="I356" s="43"/>
      <c r="J356" s="44"/>
      <c r="K356" s="43"/>
      <c r="L356" s="44">
        <f>SUM(AZ350:AZ358)</f>
        <v>1386.28</v>
      </c>
    </row>
    <row r="357" spans="1:82" ht="14.25" x14ac:dyDescent="0.2">
      <c r="A357" s="48"/>
      <c r="B357" s="48" t="s">
        <v>119</v>
      </c>
      <c r="C357" s="48" t="s">
        <v>411</v>
      </c>
      <c r="D357" s="49" t="s">
        <v>288</v>
      </c>
      <c r="E357" s="50">
        <f>Source!CA151</f>
        <v>36</v>
      </c>
      <c r="F357" s="50"/>
      <c r="G357" s="50">
        <f>Source!AU151</f>
        <v>36</v>
      </c>
      <c r="H357" s="51"/>
      <c r="I357" s="52"/>
      <c r="J357" s="51"/>
      <c r="K357" s="52"/>
      <c r="L357" s="51">
        <f>SUM(BA350:BA358)</f>
        <v>674.41</v>
      </c>
    </row>
    <row r="358" spans="1:82" ht="15" x14ac:dyDescent="0.2">
      <c r="C358" s="94" t="s">
        <v>375</v>
      </c>
      <c r="D358" s="94"/>
      <c r="E358" s="94"/>
      <c r="F358" s="94"/>
      <c r="G358" s="94"/>
      <c r="H358" s="94"/>
      <c r="I358" s="95">
        <f>K358/E350</f>
        <v>1967.02</v>
      </c>
      <c r="J358" s="95"/>
      <c r="K358" s="95">
        <f>L351+L356+L357</f>
        <v>3934.04</v>
      </c>
      <c r="L358" s="95"/>
      <c r="AD358">
        <f>ROUND((Source!AT151/100)*((ROUND(SUMIF(SmtRes!AQ62:'SmtRes'!AQ63,"=1",SmtRes!AD62:'SmtRes'!AD63)*Source!I151, 2)+ROUND(SUMIF(SmtRes!AQ62:'SmtRes'!AQ63,"=1",SmtRes!AC62:'SmtRes'!AC63)*Source!I151, 2))), 2)</f>
        <v>1711.46</v>
      </c>
      <c r="AE358">
        <f>ROUND((Source!AU151/100)*((ROUND(SUMIF(SmtRes!AQ62:'SmtRes'!AQ63,"=1",SmtRes!AD62:'SmtRes'!AD63)*Source!I151, 2)+ROUND(SUMIF(SmtRes!AQ62:'SmtRes'!AQ63,"=1",SmtRes!AC62:'SmtRes'!AC63)*Source!I151, 2))), 2)</f>
        <v>832.6</v>
      </c>
      <c r="AN358" s="53">
        <f>L351+L356+L357</f>
        <v>3934.04</v>
      </c>
      <c r="AO358">
        <f>0</f>
        <v>0</v>
      </c>
      <c r="AQ358" t="s">
        <v>376</v>
      </c>
      <c r="AR358" s="53">
        <f>L351</f>
        <v>1873.35</v>
      </c>
      <c r="AT358">
        <f>0</f>
        <v>0</v>
      </c>
      <c r="AV358" t="s">
        <v>376</v>
      </c>
      <c r="AW358">
        <f>0</f>
        <v>0</v>
      </c>
      <c r="AZ358">
        <f>Source!X151</f>
        <v>1386.28</v>
      </c>
      <c r="BA358">
        <f>Source!Y151</f>
        <v>674.41</v>
      </c>
      <c r="BR358" s="53">
        <f>K358</f>
        <v>3934.04</v>
      </c>
      <c r="BU358">
        <f>ROUND(K358*80/100, 2)</f>
        <v>3147.23</v>
      </c>
      <c r="BV358" s="53">
        <f>K358-BU358</f>
        <v>786.81</v>
      </c>
      <c r="CB358">
        <f>Source!BM151</f>
        <v>200001</v>
      </c>
      <c r="CC358" t="str">
        <f>Source!E151</f>
        <v>19</v>
      </c>
      <c r="CD358">
        <v>4</v>
      </c>
    </row>
    <row r="359" spans="1:82" ht="42.75" x14ac:dyDescent="0.2">
      <c r="A359" s="38" t="s">
        <v>171</v>
      </c>
      <c r="B359" s="40" t="s">
        <v>424</v>
      </c>
      <c r="C359" s="40" t="str">
        <f>Source!G152</f>
        <v>Проверка наличия цепи между заземлителями и заземленными элементами</v>
      </c>
      <c r="D359" s="41" t="str">
        <f>Source!H152</f>
        <v>100 измерений</v>
      </c>
      <c r="E359" s="42">
        <f>Source!K152</f>
        <v>0.02</v>
      </c>
      <c r="F359" s="42"/>
      <c r="G359" s="42">
        <f>Source!I152</f>
        <v>0.02</v>
      </c>
      <c r="H359" s="44"/>
      <c r="I359" s="43"/>
      <c r="J359" s="44"/>
      <c r="K359" s="43"/>
      <c r="L359" s="44"/>
    </row>
    <row r="360" spans="1:82" x14ac:dyDescent="0.2">
      <c r="C360" s="57" t="str">
        <f>"Объем: "&amp;Source!I152&amp;"=2/"&amp;"100"</f>
        <v>Объем: 0,02=2/100</v>
      </c>
    </row>
    <row r="361" spans="1:82" ht="15" x14ac:dyDescent="0.2">
      <c r="A361" s="39"/>
      <c r="B361" s="42">
        <v>1</v>
      </c>
      <c r="C361" s="39" t="s">
        <v>365</v>
      </c>
      <c r="D361" s="41" t="s">
        <v>264</v>
      </c>
      <c r="E361" s="46"/>
      <c r="F361" s="42"/>
      <c r="G361" s="46">
        <f>Source!U152</f>
        <v>0.25919999999999999</v>
      </c>
      <c r="H361" s="42"/>
      <c r="I361" s="42"/>
      <c r="J361" s="42"/>
      <c r="K361" s="42"/>
      <c r="L361" s="47">
        <f>SUM(L362:L363)-SUMIF(CE362:CE363, 1, L362:L363)</f>
        <v>149.87</v>
      </c>
    </row>
    <row r="362" spans="1:82" ht="14.25" x14ac:dyDescent="0.2">
      <c r="A362" s="40"/>
      <c r="B362" s="40" t="s">
        <v>309</v>
      </c>
      <c r="C362" s="40" t="s">
        <v>310</v>
      </c>
      <c r="D362" s="41" t="s">
        <v>311</v>
      </c>
      <c r="E362" s="42">
        <v>6.48</v>
      </c>
      <c r="F362" s="42"/>
      <c r="G362" s="42">
        <f>SmtRes!CX64</f>
        <v>0.12959999999999999</v>
      </c>
      <c r="H362" s="44"/>
      <c r="I362" s="43"/>
      <c r="J362" s="44">
        <f>SmtRes!CZ64</f>
        <v>584.69000000000005</v>
      </c>
      <c r="K362" s="43"/>
      <c r="L362" s="44">
        <f>SmtRes!DI64</f>
        <v>75.78</v>
      </c>
    </row>
    <row r="363" spans="1:82" ht="14.25" x14ac:dyDescent="0.2">
      <c r="A363" s="40"/>
      <c r="B363" s="40" t="s">
        <v>312</v>
      </c>
      <c r="C363" s="48" t="s">
        <v>313</v>
      </c>
      <c r="D363" s="49" t="s">
        <v>311</v>
      </c>
      <c r="E363" s="50">
        <v>6.48</v>
      </c>
      <c r="F363" s="50"/>
      <c r="G363" s="50">
        <f>SmtRes!CX65</f>
        <v>0.12959999999999999</v>
      </c>
      <c r="H363" s="51"/>
      <c r="I363" s="52"/>
      <c r="J363" s="51">
        <f>SmtRes!CZ65</f>
        <v>571.70000000000005</v>
      </c>
      <c r="K363" s="52"/>
      <c r="L363" s="51">
        <f>SmtRes!DI65</f>
        <v>74.09</v>
      </c>
    </row>
    <row r="364" spans="1:82" ht="15" x14ac:dyDescent="0.2">
      <c r="A364" s="40"/>
      <c r="B364" s="40"/>
      <c r="C364" s="54" t="s">
        <v>371</v>
      </c>
      <c r="D364" s="41"/>
      <c r="E364" s="42"/>
      <c r="F364" s="42"/>
      <c r="G364" s="42"/>
      <c r="H364" s="44"/>
      <c r="I364" s="43"/>
      <c r="J364" s="44"/>
      <c r="K364" s="43"/>
      <c r="L364" s="44">
        <f>L361</f>
        <v>149.87</v>
      </c>
    </row>
    <row r="365" spans="1:82" ht="14.25" x14ac:dyDescent="0.2">
      <c r="A365" s="40"/>
      <c r="B365" s="40"/>
      <c r="C365" s="40" t="s">
        <v>372</v>
      </c>
      <c r="D365" s="41"/>
      <c r="E365" s="42"/>
      <c r="F365" s="42"/>
      <c r="G365" s="42"/>
      <c r="H365" s="44"/>
      <c r="I365" s="43"/>
      <c r="J365" s="44"/>
      <c r="K365" s="43"/>
      <c r="L365" s="44">
        <f>SUM(AR359:AR368)+SUM(AS359:AS368)+SUM(AT359:AT368)+SUM(AU359:AU368)+SUM(AV359:AV368)</f>
        <v>149.87</v>
      </c>
    </row>
    <row r="366" spans="1:82" ht="14.25" x14ac:dyDescent="0.2">
      <c r="A366" s="40"/>
      <c r="B366" s="40" t="s">
        <v>118</v>
      </c>
      <c r="C366" s="40" t="s">
        <v>410</v>
      </c>
      <c r="D366" s="41" t="s">
        <v>288</v>
      </c>
      <c r="E366" s="42">
        <f>Source!BZ152</f>
        <v>74</v>
      </c>
      <c r="F366" s="42"/>
      <c r="G366" s="42">
        <f>Source!AT152</f>
        <v>74</v>
      </c>
      <c r="H366" s="44"/>
      <c r="I366" s="43"/>
      <c r="J366" s="44"/>
      <c r="K366" s="43"/>
      <c r="L366" s="44">
        <f>SUM(AZ359:AZ368)</f>
        <v>110.9</v>
      </c>
    </row>
    <row r="367" spans="1:82" ht="14.25" x14ac:dyDescent="0.2">
      <c r="A367" s="48"/>
      <c r="B367" s="48" t="s">
        <v>119</v>
      </c>
      <c r="C367" s="48" t="s">
        <v>411</v>
      </c>
      <c r="D367" s="49" t="s">
        <v>288</v>
      </c>
      <c r="E367" s="50">
        <f>Source!CA152</f>
        <v>36</v>
      </c>
      <c r="F367" s="50"/>
      <c r="G367" s="50">
        <f>Source!AU152</f>
        <v>36</v>
      </c>
      <c r="H367" s="51"/>
      <c r="I367" s="52"/>
      <c r="J367" s="51"/>
      <c r="K367" s="52"/>
      <c r="L367" s="51">
        <f>SUM(BA359:BA368)</f>
        <v>53.95</v>
      </c>
    </row>
    <row r="368" spans="1:82" ht="15" x14ac:dyDescent="0.2">
      <c r="C368" s="94" t="s">
        <v>375</v>
      </c>
      <c r="D368" s="94"/>
      <c r="E368" s="94"/>
      <c r="F368" s="94"/>
      <c r="G368" s="94"/>
      <c r="H368" s="94"/>
      <c r="I368" s="95">
        <f>K368/E359</f>
        <v>15735.999999999998</v>
      </c>
      <c r="J368" s="95"/>
      <c r="K368" s="95">
        <f>L361+L366+L367</f>
        <v>314.71999999999997</v>
      </c>
      <c r="L368" s="95"/>
      <c r="AD368">
        <f>ROUND((Source!AT152/100)*((ROUND(SUMIF(SmtRes!AQ64:'SmtRes'!AQ65,"=1",SmtRes!AD64:'SmtRes'!AD65)*Source!I152, 2)+ROUND(SUMIF(SmtRes!AQ64:'SmtRes'!AQ65,"=1",SmtRes!AC64:'SmtRes'!AC65)*Source!I152, 2))), 2)</f>
        <v>17.12</v>
      </c>
      <c r="AE368">
        <f>ROUND((Source!AU152/100)*((ROUND(SUMIF(SmtRes!AQ64:'SmtRes'!AQ65,"=1",SmtRes!AD64:'SmtRes'!AD65)*Source!I152, 2)+ROUND(SUMIF(SmtRes!AQ64:'SmtRes'!AQ65,"=1",SmtRes!AC64:'SmtRes'!AC65)*Source!I152, 2))), 2)</f>
        <v>8.33</v>
      </c>
      <c r="AN368" s="53">
        <f>L361+L366+L367</f>
        <v>314.71999999999997</v>
      </c>
      <c r="AO368">
        <f>0</f>
        <v>0</v>
      </c>
      <c r="AQ368" t="s">
        <v>376</v>
      </c>
      <c r="AR368" s="53">
        <f>L361</f>
        <v>149.87</v>
      </c>
      <c r="AT368">
        <f>0</f>
        <v>0</v>
      </c>
      <c r="AV368" t="s">
        <v>376</v>
      </c>
      <c r="AW368">
        <f>0</f>
        <v>0</v>
      </c>
      <c r="AZ368">
        <f>Source!X152</f>
        <v>110.9</v>
      </c>
      <c r="BA368">
        <f>Source!Y152</f>
        <v>53.95</v>
      </c>
      <c r="BR368" s="53">
        <f>K368</f>
        <v>314.71999999999997</v>
      </c>
      <c r="BU368">
        <f>ROUND(K368*80/100, 2)</f>
        <v>251.78</v>
      </c>
      <c r="BV368" s="53">
        <f>K368-BU368</f>
        <v>62.939999999999969</v>
      </c>
      <c r="CB368">
        <f>Source!BM152</f>
        <v>200001</v>
      </c>
      <c r="CC368" t="str">
        <f>Source!E152</f>
        <v>20</v>
      </c>
      <c r="CD368">
        <v>4</v>
      </c>
    </row>
    <row r="369" spans="1:82" ht="28.5" x14ac:dyDescent="0.2">
      <c r="A369" s="38" t="s">
        <v>176</v>
      </c>
      <c r="B369" s="40" t="s">
        <v>425</v>
      </c>
      <c r="C369" s="40" t="str">
        <f>Source!G153</f>
        <v>Определение удельного сопротивления грунта</v>
      </c>
      <c r="D369" s="41" t="str">
        <f>Source!H153</f>
        <v>измерение</v>
      </c>
      <c r="E369" s="42">
        <f>Source!K153</f>
        <v>2</v>
      </c>
      <c r="F369" s="42"/>
      <c r="G369" s="42">
        <f>Source!I153</f>
        <v>2</v>
      </c>
      <c r="H369" s="44"/>
      <c r="I369" s="43"/>
      <c r="J369" s="44"/>
      <c r="K369" s="43"/>
      <c r="L369" s="44"/>
    </row>
    <row r="370" spans="1:82" ht="15" x14ac:dyDescent="0.2">
      <c r="A370" s="39"/>
      <c r="B370" s="42">
        <v>1</v>
      </c>
      <c r="C370" s="39" t="s">
        <v>365</v>
      </c>
      <c r="D370" s="41" t="s">
        <v>264</v>
      </c>
      <c r="E370" s="46"/>
      <c r="F370" s="42"/>
      <c r="G370" s="46">
        <f>Source!U153</f>
        <v>6.48</v>
      </c>
      <c r="H370" s="42"/>
      <c r="I370" s="42"/>
      <c r="J370" s="42"/>
      <c r="K370" s="42"/>
      <c r="L370" s="47">
        <f>SUM(L371:L372)-SUMIF(CE371:CE372, 1, L371:L372)</f>
        <v>3746.71</v>
      </c>
    </row>
    <row r="371" spans="1:82" ht="14.25" x14ac:dyDescent="0.2">
      <c r="A371" s="40"/>
      <c r="B371" s="40" t="s">
        <v>309</v>
      </c>
      <c r="C371" s="40" t="s">
        <v>310</v>
      </c>
      <c r="D371" s="41" t="s">
        <v>311</v>
      </c>
      <c r="E371" s="42">
        <v>1.62</v>
      </c>
      <c r="F371" s="42"/>
      <c r="G371" s="42">
        <f>SmtRes!CX66</f>
        <v>3.24</v>
      </c>
      <c r="H371" s="44"/>
      <c r="I371" s="43"/>
      <c r="J371" s="44">
        <f>SmtRes!CZ66</f>
        <v>584.69000000000005</v>
      </c>
      <c r="K371" s="43"/>
      <c r="L371" s="44">
        <f>SmtRes!DI66</f>
        <v>1894.4</v>
      </c>
    </row>
    <row r="372" spans="1:82" ht="14.25" x14ac:dyDescent="0.2">
      <c r="A372" s="40"/>
      <c r="B372" s="40" t="s">
        <v>312</v>
      </c>
      <c r="C372" s="48" t="s">
        <v>313</v>
      </c>
      <c r="D372" s="49" t="s">
        <v>311</v>
      </c>
      <c r="E372" s="50">
        <v>1.62</v>
      </c>
      <c r="F372" s="50"/>
      <c r="G372" s="50">
        <f>SmtRes!CX67</f>
        <v>3.24</v>
      </c>
      <c r="H372" s="51"/>
      <c r="I372" s="52"/>
      <c r="J372" s="51">
        <f>SmtRes!CZ67</f>
        <v>571.70000000000005</v>
      </c>
      <c r="K372" s="52"/>
      <c r="L372" s="51">
        <f>SmtRes!DI67</f>
        <v>1852.31</v>
      </c>
    </row>
    <row r="373" spans="1:82" ht="15" x14ac:dyDescent="0.2">
      <c r="A373" s="40"/>
      <c r="B373" s="40"/>
      <c r="C373" s="54" t="s">
        <v>371</v>
      </c>
      <c r="D373" s="41"/>
      <c r="E373" s="42"/>
      <c r="F373" s="42"/>
      <c r="G373" s="42"/>
      <c r="H373" s="44"/>
      <c r="I373" s="43"/>
      <c r="J373" s="44"/>
      <c r="K373" s="43"/>
      <c r="L373" s="44">
        <f>L370</f>
        <v>3746.71</v>
      </c>
    </row>
    <row r="374" spans="1:82" ht="14.25" x14ac:dyDescent="0.2">
      <c r="A374" s="40"/>
      <c r="B374" s="40"/>
      <c r="C374" s="40" t="s">
        <v>372</v>
      </c>
      <c r="D374" s="41"/>
      <c r="E374" s="42"/>
      <c r="F374" s="42"/>
      <c r="G374" s="42"/>
      <c r="H374" s="44"/>
      <c r="I374" s="43"/>
      <c r="J374" s="44"/>
      <c r="K374" s="43"/>
      <c r="L374" s="44">
        <f>SUM(AR369:AR377)+SUM(AS369:AS377)+SUM(AT369:AT377)+SUM(AU369:AU377)+SUM(AV369:AV377)</f>
        <v>3746.71</v>
      </c>
    </row>
    <row r="375" spans="1:82" ht="14.25" x14ac:dyDescent="0.2">
      <c r="A375" s="40"/>
      <c r="B375" s="40" t="s">
        <v>118</v>
      </c>
      <c r="C375" s="40" t="s">
        <v>410</v>
      </c>
      <c r="D375" s="41" t="s">
        <v>288</v>
      </c>
      <c r="E375" s="42">
        <f>Source!BZ153</f>
        <v>74</v>
      </c>
      <c r="F375" s="42"/>
      <c r="G375" s="42">
        <f>Source!AT153</f>
        <v>74</v>
      </c>
      <c r="H375" s="44"/>
      <c r="I375" s="43"/>
      <c r="J375" s="44"/>
      <c r="K375" s="43"/>
      <c r="L375" s="44">
        <f>SUM(AZ369:AZ377)</f>
        <v>2772.57</v>
      </c>
    </row>
    <row r="376" spans="1:82" ht="14.25" x14ac:dyDescent="0.2">
      <c r="A376" s="48"/>
      <c r="B376" s="48" t="s">
        <v>119</v>
      </c>
      <c r="C376" s="48" t="s">
        <v>411</v>
      </c>
      <c r="D376" s="49" t="s">
        <v>288</v>
      </c>
      <c r="E376" s="50">
        <f>Source!CA153</f>
        <v>36</v>
      </c>
      <c r="F376" s="50"/>
      <c r="G376" s="50">
        <f>Source!AU153</f>
        <v>36</v>
      </c>
      <c r="H376" s="51"/>
      <c r="I376" s="52"/>
      <c r="J376" s="51"/>
      <c r="K376" s="52"/>
      <c r="L376" s="51">
        <f>SUM(BA369:BA377)</f>
        <v>1348.82</v>
      </c>
    </row>
    <row r="377" spans="1:82" ht="15" x14ac:dyDescent="0.2">
      <c r="C377" s="94" t="s">
        <v>375</v>
      </c>
      <c r="D377" s="94"/>
      <c r="E377" s="94"/>
      <c r="F377" s="94"/>
      <c r="G377" s="94"/>
      <c r="H377" s="94"/>
      <c r="I377" s="95">
        <f>K377/E369</f>
        <v>3934.05</v>
      </c>
      <c r="J377" s="95"/>
      <c r="K377" s="95">
        <f>L370+L375+L376</f>
        <v>7868.1</v>
      </c>
      <c r="L377" s="95"/>
      <c r="AD377">
        <f>ROUND((Source!AT153/100)*((ROUND(SUMIF(SmtRes!AQ66:'SmtRes'!AQ67,"=1",SmtRes!AD66:'SmtRes'!AD67)*Source!I153, 2)+ROUND(SUMIF(SmtRes!AQ66:'SmtRes'!AQ67,"=1",SmtRes!AC66:'SmtRes'!AC67)*Source!I153, 2))), 2)</f>
        <v>1711.46</v>
      </c>
      <c r="AE377">
        <f>ROUND((Source!AU153/100)*((ROUND(SUMIF(SmtRes!AQ66:'SmtRes'!AQ67,"=1",SmtRes!AD66:'SmtRes'!AD67)*Source!I153, 2)+ROUND(SUMIF(SmtRes!AQ66:'SmtRes'!AQ67,"=1",SmtRes!AC66:'SmtRes'!AC67)*Source!I153, 2))), 2)</f>
        <v>832.6</v>
      </c>
      <c r="AN377" s="53">
        <f>L370+L375+L376</f>
        <v>7868.1</v>
      </c>
      <c r="AO377">
        <f>0</f>
        <v>0</v>
      </c>
      <c r="AQ377" t="s">
        <v>376</v>
      </c>
      <c r="AR377" s="53">
        <f>L370</f>
        <v>3746.71</v>
      </c>
      <c r="AT377">
        <f>0</f>
        <v>0</v>
      </c>
      <c r="AV377" t="s">
        <v>376</v>
      </c>
      <c r="AW377">
        <f>0</f>
        <v>0</v>
      </c>
      <c r="AZ377">
        <f>Source!X153</f>
        <v>2772.57</v>
      </c>
      <c r="BA377">
        <f>Source!Y153</f>
        <v>1348.82</v>
      </c>
      <c r="BR377" s="53">
        <f>K377</f>
        <v>7868.1</v>
      </c>
      <c r="BU377">
        <f>ROUND(K377*80/100, 2)</f>
        <v>6294.48</v>
      </c>
      <c r="BV377" s="53">
        <f>K377-BU377</f>
        <v>1573.6200000000008</v>
      </c>
      <c r="CB377">
        <f>Source!BM153</f>
        <v>200001</v>
      </c>
      <c r="CC377" t="str">
        <f>Source!E153</f>
        <v>21</v>
      </c>
      <c r="CD377">
        <v>4</v>
      </c>
    </row>
    <row r="379" spans="1:82" ht="15" x14ac:dyDescent="0.2">
      <c r="A379" s="59"/>
      <c r="B379" s="60"/>
      <c r="C379" s="112" t="s">
        <v>379</v>
      </c>
      <c r="D379" s="112"/>
      <c r="E379" s="112"/>
      <c r="F379" s="112"/>
      <c r="G379" s="112"/>
      <c r="H379" s="112"/>
      <c r="I379" s="47"/>
      <c r="J379" s="59"/>
      <c r="K379" s="61"/>
      <c r="L379" s="47">
        <f>L381+L382+L388+L392</f>
        <v>118782.69000000002</v>
      </c>
    </row>
    <row r="380" spans="1:82" ht="14.25" x14ac:dyDescent="0.2">
      <c r="A380" s="55"/>
      <c r="B380" s="58"/>
      <c r="C380" s="110" t="s">
        <v>380</v>
      </c>
      <c r="D380" s="111"/>
      <c r="E380" s="111"/>
      <c r="F380" s="111"/>
      <c r="G380" s="111"/>
      <c r="H380" s="111"/>
      <c r="I380" s="44"/>
      <c r="J380" s="55"/>
      <c r="K380" s="42"/>
      <c r="L380" s="44"/>
    </row>
    <row r="381" spans="1:82" ht="14.25" x14ac:dyDescent="0.2">
      <c r="A381" s="55"/>
      <c r="B381" s="58"/>
      <c r="C381" s="111" t="s">
        <v>381</v>
      </c>
      <c r="D381" s="111"/>
      <c r="E381" s="111"/>
      <c r="F381" s="111"/>
      <c r="G381" s="111"/>
      <c r="H381" s="111"/>
      <c r="I381" s="44"/>
      <c r="J381" s="55"/>
      <c r="K381" s="42"/>
      <c r="L381" s="44">
        <f>SUM(AR243:AR377)</f>
        <v>118782.69000000002</v>
      </c>
    </row>
    <row r="382" spans="1:82" ht="14.25" hidden="1" x14ac:dyDescent="0.2">
      <c r="A382" s="55"/>
      <c r="B382" s="58"/>
      <c r="C382" s="111" t="s">
        <v>382</v>
      </c>
      <c r="D382" s="111"/>
      <c r="E382" s="111"/>
      <c r="F382" s="111"/>
      <c r="G382" s="111"/>
      <c r="H382" s="111"/>
      <c r="I382" s="44"/>
      <c r="J382" s="55"/>
      <c r="K382" s="42"/>
      <c r="L382" s="44">
        <f>L384+L387+L386</f>
        <v>0</v>
      </c>
    </row>
    <row r="383" spans="1:82" ht="14.25" hidden="1" x14ac:dyDescent="0.2">
      <c r="A383" s="55"/>
      <c r="B383" s="58"/>
      <c r="C383" s="110" t="s">
        <v>383</v>
      </c>
      <c r="D383" s="111"/>
      <c r="E383" s="111"/>
      <c r="F383" s="111"/>
      <c r="G383" s="111"/>
      <c r="H383" s="111"/>
      <c r="I383" s="44"/>
      <c r="J383" s="55"/>
      <c r="K383" s="42"/>
      <c r="L383" s="44"/>
    </row>
    <row r="384" spans="1:82" ht="14.25" hidden="1" x14ac:dyDescent="0.2">
      <c r="A384" s="55"/>
      <c r="B384" s="58"/>
      <c r="C384" s="111" t="s">
        <v>382</v>
      </c>
      <c r="D384" s="111"/>
      <c r="E384" s="111"/>
      <c r="F384" s="111"/>
      <c r="G384" s="111"/>
      <c r="H384" s="111"/>
      <c r="I384" s="44"/>
      <c r="J384" s="55"/>
      <c r="K384" s="42"/>
      <c r="L384" s="44">
        <f>SUM(AO243:AO377)</f>
        <v>0</v>
      </c>
    </row>
    <row r="385" spans="1:12" ht="14.25" hidden="1" x14ac:dyDescent="0.2">
      <c r="A385" s="55"/>
      <c r="B385" s="58"/>
      <c r="C385" s="110" t="s">
        <v>384</v>
      </c>
      <c r="D385" s="111"/>
      <c r="E385" s="111"/>
      <c r="F385" s="111"/>
      <c r="G385" s="111"/>
      <c r="H385" s="111"/>
      <c r="I385" s="44"/>
      <c r="J385" s="55"/>
      <c r="K385" s="42"/>
      <c r="L385" s="44"/>
    </row>
    <row r="386" spans="1:12" ht="14.25" hidden="1" x14ac:dyDescent="0.2">
      <c r="A386" s="55"/>
      <c r="B386" s="58"/>
      <c r="C386" s="111" t="s">
        <v>404</v>
      </c>
      <c r="D386" s="111"/>
      <c r="E386" s="111"/>
      <c r="F386" s="111"/>
      <c r="G386" s="111"/>
      <c r="H386" s="111"/>
      <c r="I386" s="44"/>
      <c r="J386" s="55"/>
      <c r="K386" s="42"/>
      <c r="L386" s="44">
        <f>SUM(AT243:AT377)</f>
        <v>0</v>
      </c>
    </row>
    <row r="387" spans="1:12" ht="14.25" hidden="1" x14ac:dyDescent="0.2">
      <c r="A387" s="55"/>
      <c r="B387" s="58"/>
      <c r="C387" s="111" t="s">
        <v>385</v>
      </c>
      <c r="D387" s="111"/>
      <c r="E387" s="111"/>
      <c r="F387" s="111"/>
      <c r="G387" s="111"/>
      <c r="H387" s="111"/>
      <c r="I387" s="44"/>
      <c r="J387" s="55"/>
      <c r="K387" s="42"/>
      <c r="L387" s="44">
        <f>SUM(AV243:AV377)</f>
        <v>0</v>
      </c>
    </row>
    <row r="388" spans="1:12" ht="14.25" hidden="1" x14ac:dyDescent="0.2">
      <c r="A388" s="55"/>
      <c r="B388" s="58"/>
      <c r="C388" s="111" t="s">
        <v>386</v>
      </c>
      <c r="D388" s="111"/>
      <c r="E388" s="111"/>
      <c r="F388" s="111"/>
      <c r="G388" s="111"/>
      <c r="H388" s="111"/>
      <c r="I388" s="44"/>
      <c r="J388" s="55"/>
      <c r="K388" s="42"/>
      <c r="L388" s="44">
        <f>L390+L391</f>
        <v>0</v>
      </c>
    </row>
    <row r="389" spans="1:12" ht="14.25" hidden="1" x14ac:dyDescent="0.2">
      <c r="A389" s="55"/>
      <c r="B389" s="58"/>
      <c r="C389" s="110" t="s">
        <v>383</v>
      </c>
      <c r="D389" s="111"/>
      <c r="E389" s="111"/>
      <c r="F389" s="111"/>
      <c r="G389" s="111"/>
      <c r="H389" s="111"/>
      <c r="I389" s="44"/>
      <c r="J389" s="55"/>
      <c r="K389" s="42"/>
      <c r="L389" s="44"/>
    </row>
    <row r="390" spans="1:12" ht="14.25" hidden="1" x14ac:dyDescent="0.2">
      <c r="A390" s="55"/>
      <c r="B390" s="58"/>
      <c r="C390" s="111" t="s">
        <v>387</v>
      </c>
      <c r="D390" s="111"/>
      <c r="E390" s="111"/>
      <c r="F390" s="111"/>
      <c r="G390" s="111"/>
      <c r="H390" s="111"/>
      <c r="I390" s="44"/>
      <c r="J390" s="55"/>
      <c r="K390" s="42"/>
      <c r="L390" s="44">
        <f>SUM(AW243:AW377)-SUM(BK243:BK377)</f>
        <v>0</v>
      </c>
    </row>
    <row r="391" spans="1:12" ht="14.25" hidden="1" x14ac:dyDescent="0.2">
      <c r="A391" s="55"/>
      <c r="B391" s="58"/>
      <c r="C391" s="111" t="s">
        <v>388</v>
      </c>
      <c r="D391" s="111"/>
      <c r="E391" s="111"/>
      <c r="F391" s="111"/>
      <c r="G391" s="111"/>
      <c r="H391" s="111"/>
      <c r="I391" s="44"/>
      <c r="J391" s="55"/>
      <c r="K391" s="42"/>
      <c r="L391" s="44">
        <f>SUM(BC243:BC377)</f>
        <v>0</v>
      </c>
    </row>
    <row r="392" spans="1:12" ht="14.25" hidden="1" x14ac:dyDescent="0.2">
      <c r="A392" s="55"/>
      <c r="B392" s="58"/>
      <c r="C392" s="111" t="s">
        <v>389</v>
      </c>
      <c r="D392" s="111"/>
      <c r="E392" s="111"/>
      <c r="F392" s="111"/>
      <c r="G392" s="111"/>
      <c r="H392" s="111"/>
      <c r="I392" s="44"/>
      <c r="J392" s="55"/>
      <c r="K392" s="42"/>
      <c r="L392" s="44">
        <f>SUM(BB243:BB377)</f>
        <v>0</v>
      </c>
    </row>
    <row r="393" spans="1:12" ht="14.25" x14ac:dyDescent="0.2">
      <c r="A393" s="55"/>
      <c r="B393" s="58"/>
      <c r="C393" s="111" t="s">
        <v>390</v>
      </c>
      <c r="D393" s="111"/>
      <c r="E393" s="111"/>
      <c r="F393" s="111"/>
      <c r="G393" s="111"/>
      <c r="H393" s="111"/>
      <c r="I393" s="44"/>
      <c r="J393" s="55"/>
      <c r="K393" s="42"/>
      <c r="L393" s="44">
        <f>SUM(AR243:AR377)+SUM(AT243:AT377)+SUM(AV243:AV377)</f>
        <v>118782.69000000002</v>
      </c>
    </row>
    <row r="394" spans="1:12" ht="14.25" x14ac:dyDescent="0.2">
      <c r="A394" s="55"/>
      <c r="B394" s="58"/>
      <c r="C394" s="111" t="s">
        <v>391</v>
      </c>
      <c r="D394" s="111"/>
      <c r="E394" s="111"/>
      <c r="F394" s="111"/>
      <c r="G394" s="111"/>
      <c r="H394" s="111"/>
      <c r="I394" s="44"/>
      <c r="J394" s="55"/>
      <c r="K394" s="42"/>
      <c r="L394" s="44">
        <f>SUM(AZ243:AZ377)</f>
        <v>87899.200000000012</v>
      </c>
    </row>
    <row r="395" spans="1:12" ht="14.25" x14ac:dyDescent="0.2">
      <c r="A395" s="55"/>
      <c r="B395" s="58"/>
      <c r="C395" s="111" t="s">
        <v>392</v>
      </c>
      <c r="D395" s="111"/>
      <c r="E395" s="111"/>
      <c r="F395" s="111"/>
      <c r="G395" s="111"/>
      <c r="H395" s="111"/>
      <c r="I395" s="44"/>
      <c r="J395" s="55"/>
      <c r="K395" s="42"/>
      <c r="L395" s="44">
        <f>SUM(BA243:BA377)</f>
        <v>42761.780000000006</v>
      </c>
    </row>
    <row r="396" spans="1:12" ht="14.25" hidden="1" x14ac:dyDescent="0.2">
      <c r="A396" s="55"/>
      <c r="B396" s="58"/>
      <c r="C396" s="111" t="s">
        <v>393</v>
      </c>
      <c r="D396" s="111"/>
      <c r="E396" s="111"/>
      <c r="F396" s="111"/>
      <c r="G396" s="111"/>
      <c r="H396" s="111"/>
      <c r="I396" s="44"/>
      <c r="J396" s="55"/>
      <c r="K396" s="42"/>
      <c r="L396" s="44">
        <f>L398+L399</f>
        <v>0</v>
      </c>
    </row>
    <row r="397" spans="1:12" ht="14.25" hidden="1" x14ac:dyDescent="0.2">
      <c r="A397" s="55"/>
      <c r="B397" s="58"/>
      <c r="C397" s="110" t="s">
        <v>380</v>
      </c>
      <c r="D397" s="111"/>
      <c r="E397" s="111"/>
      <c r="F397" s="111"/>
      <c r="G397" s="111"/>
      <c r="H397" s="111"/>
      <c r="I397" s="44"/>
      <c r="J397" s="55"/>
      <c r="K397" s="42"/>
      <c r="L397" s="44"/>
    </row>
    <row r="398" spans="1:12" ht="14.25" hidden="1" x14ac:dyDescent="0.2">
      <c r="A398" s="55"/>
      <c r="B398" s="58"/>
      <c r="C398" s="111" t="s">
        <v>394</v>
      </c>
      <c r="D398" s="111"/>
      <c r="E398" s="111"/>
      <c r="F398" s="111"/>
      <c r="G398" s="111"/>
      <c r="H398" s="111"/>
      <c r="I398" s="44"/>
      <c r="J398" s="55"/>
      <c r="K398" s="42"/>
      <c r="L398" s="44">
        <f>SUM(BK243:BK377)</f>
        <v>0</v>
      </c>
    </row>
    <row r="399" spans="1:12" ht="14.25" hidden="1" x14ac:dyDescent="0.2">
      <c r="A399" s="55"/>
      <c r="B399" s="58"/>
      <c r="C399" s="111" t="s">
        <v>395</v>
      </c>
      <c r="D399" s="111"/>
      <c r="E399" s="111"/>
      <c r="F399" s="111"/>
      <c r="G399" s="111"/>
      <c r="H399" s="111"/>
      <c r="I399" s="44"/>
      <c r="J399" s="55"/>
      <c r="K399" s="42"/>
      <c r="L399" s="44">
        <f>SUM(BD243:BD377)</f>
        <v>0</v>
      </c>
    </row>
    <row r="400" spans="1:12" ht="14.25" hidden="1" x14ac:dyDescent="0.2">
      <c r="A400" s="55"/>
      <c r="B400" s="58"/>
      <c r="C400" s="111" t="s">
        <v>396</v>
      </c>
      <c r="D400" s="111"/>
      <c r="E400" s="111"/>
      <c r="F400" s="111"/>
      <c r="G400" s="111"/>
      <c r="H400" s="111"/>
      <c r="I400" s="44"/>
      <c r="J400" s="55"/>
      <c r="K400" s="42"/>
      <c r="L400" s="44"/>
    </row>
    <row r="401" spans="1:12" ht="14.25" hidden="1" x14ac:dyDescent="0.2">
      <c r="A401" s="55"/>
      <c r="B401" s="58"/>
      <c r="C401" s="111" t="s">
        <v>397</v>
      </c>
      <c r="D401" s="111"/>
      <c r="E401" s="111"/>
      <c r="F401" s="111"/>
      <c r="G401" s="111"/>
      <c r="H401" s="111"/>
      <c r="I401" s="44"/>
      <c r="J401" s="55"/>
      <c r="K401" s="42"/>
      <c r="L401" s="44">
        <f>SUM(BO243:BO377)</f>
        <v>0</v>
      </c>
    </row>
    <row r="402" spans="1:12" ht="15" x14ac:dyDescent="0.2">
      <c r="A402" s="59"/>
      <c r="B402" s="60"/>
      <c r="C402" s="112" t="s">
        <v>398</v>
      </c>
      <c r="D402" s="112"/>
      <c r="E402" s="112"/>
      <c r="F402" s="112"/>
      <c r="G402" s="112"/>
      <c r="H402" s="112"/>
      <c r="I402" s="47"/>
      <c r="J402" s="59"/>
      <c r="K402" s="61"/>
      <c r="L402" s="47">
        <f>L379+L394+L395+L396+L400+L401</f>
        <v>249443.67</v>
      </c>
    </row>
    <row r="403" spans="1:12" ht="14.25" x14ac:dyDescent="0.2">
      <c r="A403" s="55"/>
      <c r="B403" s="58"/>
      <c r="C403" s="110" t="s">
        <v>399</v>
      </c>
      <c r="D403" s="111"/>
      <c r="E403" s="111"/>
      <c r="F403" s="111"/>
      <c r="G403" s="111"/>
      <c r="H403" s="111"/>
      <c r="I403" s="44"/>
      <c r="J403" s="55"/>
      <c r="K403" s="42"/>
      <c r="L403" s="44"/>
    </row>
    <row r="404" spans="1:12" ht="14.25" hidden="1" x14ac:dyDescent="0.2">
      <c r="A404" s="55"/>
      <c r="B404" s="58"/>
      <c r="C404" s="111" t="s">
        <v>400</v>
      </c>
      <c r="D404" s="111"/>
      <c r="E404" s="111"/>
      <c r="F404" s="111"/>
      <c r="G404" s="111"/>
      <c r="H404" s="111"/>
      <c r="I404" s="44"/>
      <c r="J404" s="55"/>
      <c r="K404" s="42"/>
      <c r="L404" s="44">
        <f>SUM(AX243:AX377)</f>
        <v>0</v>
      </c>
    </row>
    <row r="405" spans="1:12" ht="14.25" hidden="1" x14ac:dyDescent="0.2">
      <c r="A405" s="55"/>
      <c r="B405" s="58"/>
      <c r="C405" s="111" t="s">
        <v>401</v>
      </c>
      <c r="D405" s="111"/>
      <c r="E405" s="111"/>
      <c r="F405" s="111"/>
      <c r="G405" s="111"/>
      <c r="H405" s="111"/>
      <c r="I405" s="44"/>
      <c r="J405" s="55"/>
      <c r="K405" s="42"/>
      <c r="L405" s="44">
        <f>SUM(AY243:AY377)</f>
        <v>0</v>
      </c>
    </row>
    <row r="406" spans="1:12" ht="14.25" x14ac:dyDescent="0.2">
      <c r="A406" s="55"/>
      <c r="B406" s="58"/>
      <c r="C406" s="111" t="s">
        <v>402</v>
      </c>
      <c r="D406" s="111"/>
      <c r="E406" s="111"/>
      <c r="F406" s="113"/>
      <c r="G406" s="46">
        <f>Source!F177</f>
        <v>215.3192</v>
      </c>
      <c r="H406" s="55"/>
      <c r="I406" s="55"/>
      <c r="J406" s="55"/>
      <c r="K406" s="55"/>
      <c r="L406" s="55"/>
    </row>
    <row r="407" spans="1:12" ht="14.25" hidden="1" customHeight="1" x14ac:dyDescent="0.2">
      <c r="A407" s="55"/>
      <c r="B407" s="58"/>
      <c r="C407" s="111" t="s">
        <v>403</v>
      </c>
      <c r="D407" s="111"/>
      <c r="E407" s="111"/>
      <c r="F407" s="113"/>
      <c r="G407" s="46">
        <f>Source!F178</f>
        <v>0</v>
      </c>
      <c r="H407" s="55"/>
      <c r="I407" s="55"/>
      <c r="J407" s="55"/>
      <c r="K407" s="55"/>
      <c r="L407" s="55"/>
    </row>
    <row r="410" spans="1:12" ht="15" x14ac:dyDescent="0.2">
      <c r="A410" s="63"/>
      <c r="B410" s="64"/>
      <c r="C410" s="114" t="s">
        <v>426</v>
      </c>
      <c r="D410" s="114"/>
      <c r="E410" s="114"/>
      <c r="F410" s="114"/>
      <c r="G410" s="114"/>
      <c r="H410" s="114"/>
      <c r="I410" s="56"/>
      <c r="J410" s="63"/>
      <c r="K410" s="65"/>
      <c r="L410" s="56"/>
    </row>
    <row r="412" spans="1:12" ht="15" hidden="1" x14ac:dyDescent="0.2">
      <c r="A412" s="59"/>
      <c r="B412" s="60"/>
      <c r="C412" s="112" t="s">
        <v>427</v>
      </c>
      <c r="D412" s="112"/>
      <c r="E412" s="112"/>
      <c r="F412" s="112"/>
      <c r="G412" s="112"/>
      <c r="H412" s="112"/>
      <c r="I412" s="47"/>
      <c r="J412" s="59"/>
      <c r="K412" s="61"/>
      <c r="L412" s="47">
        <f>L414+L429+L430</f>
        <v>0</v>
      </c>
    </row>
    <row r="413" spans="1:12" ht="14.25" hidden="1" x14ac:dyDescent="0.2">
      <c r="A413" s="55"/>
      <c r="B413" s="58"/>
      <c r="C413" s="110" t="s">
        <v>380</v>
      </c>
      <c r="D413" s="111"/>
      <c r="E413" s="111"/>
      <c r="F413" s="111"/>
      <c r="G413" s="111"/>
      <c r="H413" s="111"/>
      <c r="I413" s="44"/>
      <c r="J413" s="55"/>
      <c r="K413" s="42"/>
      <c r="L413" s="44"/>
    </row>
    <row r="414" spans="1:12" ht="14.25" hidden="1" x14ac:dyDescent="0.2">
      <c r="A414" s="55"/>
      <c r="B414" s="58"/>
      <c r="C414" s="111" t="s">
        <v>428</v>
      </c>
      <c r="D414" s="111"/>
      <c r="E414" s="111"/>
      <c r="F414" s="111"/>
      <c r="G414" s="111"/>
      <c r="H414" s="111"/>
      <c r="I414" s="44"/>
      <c r="J414" s="55"/>
      <c r="K414" s="42"/>
      <c r="L414" s="44">
        <f>L416+L417+L423+L427</f>
        <v>0</v>
      </c>
    </row>
    <row r="415" spans="1:12" ht="14.25" hidden="1" x14ac:dyDescent="0.2">
      <c r="A415" s="55"/>
      <c r="B415" s="58"/>
      <c r="C415" s="110" t="s">
        <v>380</v>
      </c>
      <c r="D415" s="111"/>
      <c r="E415" s="111"/>
      <c r="F415" s="111"/>
      <c r="G415" s="111"/>
      <c r="H415" s="111"/>
      <c r="I415" s="44"/>
      <c r="J415" s="55"/>
      <c r="K415" s="42"/>
      <c r="L415" s="44"/>
    </row>
    <row r="416" spans="1:12" ht="14.25" hidden="1" x14ac:dyDescent="0.2">
      <c r="A416" s="55"/>
      <c r="B416" s="58"/>
      <c r="C416" s="111" t="s">
        <v>429</v>
      </c>
      <c r="D416" s="111"/>
      <c r="E416" s="111"/>
      <c r="F416" s="111"/>
      <c r="G416" s="111"/>
      <c r="H416" s="111"/>
      <c r="I416" s="44"/>
      <c r="J416" s="55"/>
      <c r="K416" s="42"/>
      <c r="L416" s="44">
        <f>SUMIF(CD53:CD408, 1, AR53:AR408)</f>
        <v>0</v>
      </c>
    </row>
    <row r="417" spans="1:12" ht="14.25" hidden="1" x14ac:dyDescent="0.2">
      <c r="A417" s="55"/>
      <c r="B417" s="58"/>
      <c r="C417" s="111" t="s">
        <v>382</v>
      </c>
      <c r="D417" s="111"/>
      <c r="E417" s="111"/>
      <c r="F417" s="111"/>
      <c r="G417" s="111"/>
      <c r="H417" s="111"/>
      <c r="I417" s="44"/>
      <c r="J417" s="55"/>
      <c r="K417" s="42"/>
      <c r="L417" s="44">
        <f>L419+L422+L421</f>
        <v>0</v>
      </c>
    </row>
    <row r="418" spans="1:12" ht="14.25" hidden="1" x14ac:dyDescent="0.2">
      <c r="A418" s="55"/>
      <c r="B418" s="58"/>
      <c r="C418" s="110" t="s">
        <v>383</v>
      </c>
      <c r="D418" s="111"/>
      <c r="E418" s="111"/>
      <c r="F418" s="111"/>
      <c r="G418" s="111"/>
      <c r="H418" s="111"/>
      <c r="I418" s="44"/>
      <c r="J418" s="55"/>
      <c r="K418" s="42"/>
      <c r="L418" s="44"/>
    </row>
    <row r="419" spans="1:12" ht="14.25" hidden="1" x14ac:dyDescent="0.2">
      <c r="A419" s="55"/>
      <c r="B419" s="58"/>
      <c r="C419" s="111" t="s">
        <v>382</v>
      </c>
      <c r="D419" s="111"/>
      <c r="E419" s="111"/>
      <c r="F419" s="111"/>
      <c r="G419" s="111"/>
      <c r="H419" s="111"/>
      <c r="I419" s="44"/>
      <c r="J419" s="55"/>
      <c r="K419" s="42"/>
      <c r="L419" s="44">
        <f>SUMIF(CD53:CD408, 1, AO53:AO408)</f>
        <v>0</v>
      </c>
    </row>
    <row r="420" spans="1:12" ht="14.25" hidden="1" x14ac:dyDescent="0.2">
      <c r="A420" s="55"/>
      <c r="B420" s="58"/>
      <c r="C420" s="110" t="s">
        <v>384</v>
      </c>
      <c r="D420" s="111"/>
      <c r="E420" s="111"/>
      <c r="F420" s="111"/>
      <c r="G420" s="111"/>
      <c r="H420" s="111"/>
      <c r="I420" s="44"/>
      <c r="J420" s="55"/>
      <c r="K420" s="42"/>
      <c r="L420" s="44"/>
    </row>
    <row r="421" spans="1:12" ht="14.25" hidden="1" x14ac:dyDescent="0.2">
      <c r="A421" s="55"/>
      <c r="B421" s="58"/>
      <c r="C421" s="111" t="s">
        <v>404</v>
      </c>
      <c r="D421" s="111"/>
      <c r="E421" s="111"/>
      <c r="F421" s="111"/>
      <c r="G421" s="111"/>
      <c r="H421" s="111"/>
      <c r="I421" s="44"/>
      <c r="J421" s="55"/>
      <c r="K421" s="42"/>
      <c r="L421" s="44">
        <f>SUMIF(CD53:CD408, 1, AT53:AT408)</f>
        <v>0</v>
      </c>
    </row>
    <row r="422" spans="1:12" ht="14.25" hidden="1" x14ac:dyDescent="0.2">
      <c r="A422" s="55"/>
      <c r="B422" s="58"/>
      <c r="C422" s="111" t="s">
        <v>385</v>
      </c>
      <c r="D422" s="111"/>
      <c r="E422" s="111"/>
      <c r="F422" s="111"/>
      <c r="G422" s="111"/>
      <c r="H422" s="111"/>
      <c r="I422" s="44"/>
      <c r="J422" s="55"/>
      <c r="K422" s="42"/>
      <c r="L422" s="44">
        <f>SUMIF(CD53:CD408, 1, AV53:AV408)</f>
        <v>0</v>
      </c>
    </row>
    <row r="423" spans="1:12" ht="14.25" hidden="1" x14ac:dyDescent="0.2">
      <c r="A423" s="55"/>
      <c r="B423" s="58"/>
      <c r="C423" s="111" t="s">
        <v>386</v>
      </c>
      <c r="D423" s="111"/>
      <c r="E423" s="111"/>
      <c r="F423" s="111"/>
      <c r="G423" s="111"/>
      <c r="H423" s="111"/>
      <c r="I423" s="44"/>
      <c r="J423" s="55"/>
      <c r="K423" s="42"/>
      <c r="L423" s="44">
        <f>L425+L426</f>
        <v>0</v>
      </c>
    </row>
    <row r="424" spans="1:12" ht="14.25" hidden="1" x14ac:dyDescent="0.2">
      <c r="A424" s="55"/>
      <c r="B424" s="58"/>
      <c r="C424" s="110" t="s">
        <v>383</v>
      </c>
      <c r="D424" s="111"/>
      <c r="E424" s="111"/>
      <c r="F424" s="111"/>
      <c r="G424" s="111"/>
      <c r="H424" s="111"/>
      <c r="I424" s="44"/>
      <c r="J424" s="55"/>
      <c r="K424" s="42"/>
      <c r="L424" s="44"/>
    </row>
    <row r="425" spans="1:12" ht="14.25" hidden="1" x14ac:dyDescent="0.2">
      <c r="A425" s="55"/>
      <c r="B425" s="58"/>
      <c r="C425" s="111" t="s">
        <v>387</v>
      </c>
      <c r="D425" s="111"/>
      <c r="E425" s="111"/>
      <c r="F425" s="111"/>
      <c r="G425" s="111"/>
      <c r="H425" s="111"/>
      <c r="I425" s="44"/>
      <c r="J425" s="55"/>
      <c r="K425" s="42"/>
      <c r="L425" s="44">
        <f>SUMIF(CD53:CD408, 1, AW53:AW408)-SUMIF(CD53:CD408, 1, BK53:BK408)</f>
        <v>0</v>
      </c>
    </row>
    <row r="426" spans="1:12" ht="14.25" hidden="1" x14ac:dyDescent="0.2">
      <c r="A426" s="55"/>
      <c r="B426" s="58"/>
      <c r="C426" s="111" t="s">
        <v>388</v>
      </c>
      <c r="D426" s="111"/>
      <c r="E426" s="111"/>
      <c r="F426" s="111"/>
      <c r="G426" s="111"/>
      <c r="H426" s="111"/>
      <c r="I426" s="44"/>
      <c r="J426" s="55"/>
      <c r="K426" s="42"/>
      <c r="L426" s="44">
        <f>SUMIF(CD53:CD408, 1, BC53:BC408)</f>
        <v>0</v>
      </c>
    </row>
    <row r="427" spans="1:12" ht="14.25" hidden="1" x14ac:dyDescent="0.2">
      <c r="A427" s="55"/>
      <c r="B427" s="58"/>
      <c r="C427" s="111" t="s">
        <v>389</v>
      </c>
      <c r="D427" s="111"/>
      <c r="E427" s="111"/>
      <c r="F427" s="111"/>
      <c r="G427" s="111"/>
      <c r="H427" s="111"/>
      <c r="I427" s="44"/>
      <c r="J427" s="55"/>
      <c r="K427" s="42"/>
      <c r="L427" s="44">
        <f>SUMIF(CD53:CD408, 1, BB53:BB408)</f>
        <v>0</v>
      </c>
    </row>
    <row r="428" spans="1:12" ht="14.25" hidden="1" x14ac:dyDescent="0.2">
      <c r="A428" s="55"/>
      <c r="B428" s="58"/>
      <c r="C428" s="111" t="s">
        <v>430</v>
      </c>
      <c r="D428" s="111"/>
      <c r="E428" s="111"/>
      <c r="F428" s="111"/>
      <c r="G428" s="111"/>
      <c r="H428" s="111"/>
      <c r="I428" s="44"/>
      <c r="J428" s="55"/>
      <c r="K428" s="42"/>
      <c r="L428" s="44">
        <f>SUMIF(CD53:CD408, 1, AR53:AR408)+SUMIF(CD53:CD408, 1, AT53:AT408)+SUMIF(CD53:CD408, 1, AV53:AV408)</f>
        <v>0</v>
      </c>
    </row>
    <row r="429" spans="1:12" ht="14.25" hidden="1" x14ac:dyDescent="0.2">
      <c r="A429" s="55"/>
      <c r="B429" s="58"/>
      <c r="C429" s="111" t="s">
        <v>431</v>
      </c>
      <c r="D429" s="111"/>
      <c r="E429" s="111"/>
      <c r="F429" s="111"/>
      <c r="G429" s="111"/>
      <c r="H429" s="111"/>
      <c r="I429" s="44"/>
      <c r="J429" s="55"/>
      <c r="K429" s="42"/>
      <c r="L429" s="44">
        <f>SUMIF(CD53:CD408, 1, AZ53:AZ408)</f>
        <v>0</v>
      </c>
    </row>
    <row r="430" spans="1:12" ht="14.25" hidden="1" x14ac:dyDescent="0.2">
      <c r="A430" s="55"/>
      <c r="B430" s="58"/>
      <c r="C430" s="111" t="s">
        <v>432</v>
      </c>
      <c r="D430" s="111"/>
      <c r="E430" s="111"/>
      <c r="F430" s="111"/>
      <c r="G430" s="111"/>
      <c r="H430" s="111"/>
      <c r="I430" s="44"/>
      <c r="J430" s="55"/>
      <c r="K430" s="42"/>
      <c r="L430" s="44">
        <f>SUMIF(CD53:CD408, 1, BA53:BA408)</f>
        <v>0</v>
      </c>
    </row>
    <row r="432" spans="1:12" ht="15" x14ac:dyDescent="0.2">
      <c r="A432" s="59"/>
      <c r="B432" s="60"/>
      <c r="C432" s="112" t="s">
        <v>433</v>
      </c>
      <c r="D432" s="112"/>
      <c r="E432" s="112"/>
      <c r="F432" s="112"/>
      <c r="G432" s="112"/>
      <c r="H432" s="112"/>
      <c r="I432" s="47"/>
      <c r="J432" s="59"/>
      <c r="K432" s="61"/>
      <c r="L432" s="47">
        <f>L434+L449+L450</f>
        <v>81049.489999999991</v>
      </c>
    </row>
    <row r="433" spans="1:12" ht="14.25" x14ac:dyDescent="0.2">
      <c r="A433" s="55"/>
      <c r="B433" s="58"/>
      <c r="C433" s="110" t="s">
        <v>380</v>
      </c>
      <c r="D433" s="111"/>
      <c r="E433" s="111"/>
      <c r="F433" s="111"/>
      <c r="G433" s="111"/>
      <c r="H433" s="111"/>
      <c r="I433" s="44"/>
      <c r="J433" s="55"/>
      <c r="K433" s="42"/>
      <c r="L433" s="44"/>
    </row>
    <row r="434" spans="1:12" ht="14.25" x14ac:dyDescent="0.2">
      <c r="A434" s="55"/>
      <c r="B434" s="58"/>
      <c r="C434" s="111" t="s">
        <v>428</v>
      </c>
      <c r="D434" s="111"/>
      <c r="E434" s="111"/>
      <c r="F434" s="111"/>
      <c r="G434" s="111"/>
      <c r="H434" s="111"/>
      <c r="I434" s="44"/>
      <c r="J434" s="55"/>
      <c r="K434" s="42"/>
      <c r="L434" s="44">
        <f>L436+L437+L443+L447</f>
        <v>36816.82</v>
      </c>
    </row>
    <row r="435" spans="1:12" ht="14.25" x14ac:dyDescent="0.2">
      <c r="A435" s="55"/>
      <c r="B435" s="58"/>
      <c r="C435" s="110" t="s">
        <v>380</v>
      </c>
      <c r="D435" s="111"/>
      <c r="E435" s="111"/>
      <c r="F435" s="111"/>
      <c r="G435" s="111"/>
      <c r="H435" s="111"/>
      <c r="I435" s="44"/>
      <c r="J435" s="55"/>
      <c r="K435" s="42"/>
      <c r="L435" s="44"/>
    </row>
    <row r="436" spans="1:12" ht="14.25" x14ac:dyDescent="0.2">
      <c r="A436" s="55"/>
      <c r="B436" s="58"/>
      <c r="C436" s="111" t="s">
        <v>429</v>
      </c>
      <c r="D436" s="111"/>
      <c r="E436" s="111"/>
      <c r="F436" s="111"/>
      <c r="G436" s="111"/>
      <c r="H436" s="111"/>
      <c r="I436" s="44"/>
      <c r="J436" s="55"/>
      <c r="K436" s="42"/>
      <c r="L436" s="44">
        <f>SUMIF(CD53:CD430, 2, AR53:AR430)</f>
        <v>27061.26</v>
      </c>
    </row>
    <row r="437" spans="1:12" ht="14.25" hidden="1" x14ac:dyDescent="0.2">
      <c r="A437" s="55"/>
      <c r="B437" s="58"/>
      <c r="C437" s="111" t="s">
        <v>382</v>
      </c>
      <c r="D437" s="111"/>
      <c r="E437" s="111"/>
      <c r="F437" s="111"/>
      <c r="G437" s="111"/>
      <c r="H437" s="111"/>
      <c r="I437" s="44"/>
      <c r="J437" s="55"/>
      <c r="K437" s="42"/>
      <c r="L437" s="44">
        <f>L439+L442+L441</f>
        <v>8147.1599999999989</v>
      </c>
    </row>
    <row r="438" spans="1:12" ht="14.25" hidden="1" x14ac:dyDescent="0.2">
      <c r="A438" s="55"/>
      <c r="B438" s="58"/>
      <c r="C438" s="110" t="s">
        <v>383</v>
      </c>
      <c r="D438" s="111"/>
      <c r="E438" s="111"/>
      <c r="F438" s="111"/>
      <c r="G438" s="111"/>
      <c r="H438" s="111"/>
      <c r="I438" s="44"/>
      <c r="J438" s="55"/>
      <c r="K438" s="42"/>
      <c r="L438" s="44"/>
    </row>
    <row r="439" spans="1:12" ht="14.25" x14ac:dyDescent="0.2">
      <c r="A439" s="55"/>
      <c r="B439" s="58"/>
      <c r="C439" s="111" t="s">
        <v>382</v>
      </c>
      <c r="D439" s="111"/>
      <c r="E439" s="111"/>
      <c r="F439" s="111"/>
      <c r="G439" s="111"/>
      <c r="H439" s="111"/>
      <c r="I439" s="44"/>
      <c r="J439" s="55"/>
      <c r="K439" s="42"/>
      <c r="L439" s="44">
        <f>SUMIF(CD53:CD430, 2, AO53:AO430)</f>
        <v>5321.4799999999987</v>
      </c>
    </row>
    <row r="440" spans="1:12" ht="14.25" hidden="1" x14ac:dyDescent="0.2">
      <c r="A440" s="55"/>
      <c r="B440" s="58"/>
      <c r="C440" s="110" t="s">
        <v>384</v>
      </c>
      <c r="D440" s="111"/>
      <c r="E440" s="111"/>
      <c r="F440" s="111"/>
      <c r="G440" s="111"/>
      <c r="H440" s="111"/>
      <c r="I440" s="44"/>
      <c r="J440" s="55"/>
      <c r="K440" s="42"/>
      <c r="L440" s="44"/>
    </row>
    <row r="441" spans="1:12" ht="14.25" x14ac:dyDescent="0.2">
      <c r="A441" s="55"/>
      <c r="B441" s="58"/>
      <c r="C441" s="111" t="s">
        <v>404</v>
      </c>
      <c r="D441" s="111"/>
      <c r="E441" s="111"/>
      <c r="F441" s="111"/>
      <c r="G441" s="111"/>
      <c r="H441" s="111"/>
      <c r="I441" s="44"/>
      <c r="J441" s="55"/>
      <c r="K441" s="42"/>
      <c r="L441" s="44">
        <f>SUMIF(CD53:CD430, 2, AT53:AT430)</f>
        <v>2825.6800000000003</v>
      </c>
    </row>
    <row r="442" spans="1:12" ht="14.25" hidden="1" x14ac:dyDescent="0.2">
      <c r="A442" s="55"/>
      <c r="B442" s="58"/>
      <c r="C442" s="111" t="s">
        <v>385</v>
      </c>
      <c r="D442" s="111"/>
      <c r="E442" s="111"/>
      <c r="F442" s="111"/>
      <c r="G442" s="111"/>
      <c r="H442" s="111"/>
      <c r="I442" s="44"/>
      <c r="J442" s="55"/>
      <c r="K442" s="42"/>
      <c r="L442" s="44">
        <f>SUMIF(CD53:CD430, 2, AV53:AV430)</f>
        <v>0</v>
      </c>
    </row>
    <row r="443" spans="1:12" ht="14.25" x14ac:dyDescent="0.2">
      <c r="A443" s="55"/>
      <c r="B443" s="58"/>
      <c r="C443" s="111" t="s">
        <v>386</v>
      </c>
      <c r="D443" s="111"/>
      <c r="E443" s="111"/>
      <c r="F443" s="111"/>
      <c r="G443" s="111"/>
      <c r="H443" s="111"/>
      <c r="I443" s="44"/>
      <c r="J443" s="55"/>
      <c r="K443" s="42"/>
      <c r="L443" s="44">
        <f>L445+L446</f>
        <v>1608.4</v>
      </c>
    </row>
    <row r="444" spans="1:12" ht="14.25" x14ac:dyDescent="0.2">
      <c r="A444" s="55"/>
      <c r="B444" s="58"/>
      <c r="C444" s="110" t="s">
        <v>383</v>
      </c>
      <c r="D444" s="111"/>
      <c r="E444" s="111"/>
      <c r="F444" s="111"/>
      <c r="G444" s="111"/>
      <c r="H444" s="111"/>
      <c r="I444" s="44"/>
      <c r="J444" s="55"/>
      <c r="K444" s="42"/>
      <c r="L444" s="44"/>
    </row>
    <row r="445" spans="1:12" ht="14.25" x14ac:dyDescent="0.2">
      <c r="A445" s="55"/>
      <c r="B445" s="58"/>
      <c r="C445" s="111" t="s">
        <v>387</v>
      </c>
      <c r="D445" s="111"/>
      <c r="E445" s="111"/>
      <c r="F445" s="111"/>
      <c r="G445" s="111"/>
      <c r="H445" s="111"/>
      <c r="I445" s="44"/>
      <c r="J445" s="55"/>
      <c r="K445" s="42"/>
      <c r="L445" s="44">
        <f>SUMIF(CD53:CD430, 2, AW53:AW430)-SUMIF(CD53:CD430, 2, BK53:BK430)</f>
        <v>1608.4</v>
      </c>
    </row>
    <row r="446" spans="1:12" ht="14.25" hidden="1" x14ac:dyDescent="0.2">
      <c r="A446" s="55"/>
      <c r="B446" s="58"/>
      <c r="C446" s="111" t="s">
        <v>388</v>
      </c>
      <c r="D446" s="111"/>
      <c r="E446" s="111"/>
      <c r="F446" s="111"/>
      <c r="G446" s="111"/>
      <c r="H446" s="111"/>
      <c r="I446" s="44"/>
      <c r="J446" s="55"/>
      <c r="K446" s="42"/>
      <c r="L446" s="44">
        <f>SUMIF(CD53:CD430, 2, BC53:BC430)</f>
        <v>0</v>
      </c>
    </row>
    <row r="447" spans="1:12" ht="14.25" hidden="1" x14ac:dyDescent="0.2">
      <c r="A447" s="55"/>
      <c r="B447" s="58"/>
      <c r="C447" s="111" t="s">
        <v>389</v>
      </c>
      <c r="D447" s="111"/>
      <c r="E447" s="111"/>
      <c r="F447" s="111"/>
      <c r="G447" s="111"/>
      <c r="H447" s="111"/>
      <c r="I447" s="44"/>
      <c r="J447" s="55"/>
      <c r="K447" s="42"/>
      <c r="L447" s="44">
        <f>SUMIF(CD53:CD430, 2, BB53:BB430)</f>
        <v>0</v>
      </c>
    </row>
    <row r="448" spans="1:12" ht="14.25" x14ac:dyDescent="0.2">
      <c r="A448" s="55"/>
      <c r="B448" s="58"/>
      <c r="C448" s="111" t="s">
        <v>430</v>
      </c>
      <c r="D448" s="111"/>
      <c r="E448" s="111"/>
      <c r="F448" s="111"/>
      <c r="G448" s="111"/>
      <c r="H448" s="111"/>
      <c r="I448" s="44"/>
      <c r="J448" s="55"/>
      <c r="K448" s="42"/>
      <c r="L448" s="44">
        <f>SUMIF(CD53:CD430, 2, AR53:AR430)+SUMIF(CD53:CD430, 2, AT53:AT430)+SUMIF(CD53:CD430, 2, AV53:AV430)</f>
        <v>29886.94</v>
      </c>
    </row>
    <row r="449" spans="1:12" ht="14.25" x14ac:dyDescent="0.2">
      <c r="A449" s="55"/>
      <c r="B449" s="58"/>
      <c r="C449" s="111" t="s">
        <v>431</v>
      </c>
      <c r="D449" s="111"/>
      <c r="E449" s="111"/>
      <c r="F449" s="111"/>
      <c r="G449" s="111"/>
      <c r="H449" s="111"/>
      <c r="I449" s="44"/>
      <c r="J449" s="55"/>
      <c r="K449" s="42"/>
      <c r="L449" s="44">
        <f>SUMIF(CD53:CD430, 2, AZ53:AZ430)</f>
        <v>28990.329999999998</v>
      </c>
    </row>
    <row r="450" spans="1:12" ht="14.25" x14ac:dyDescent="0.2">
      <c r="A450" s="55"/>
      <c r="B450" s="58"/>
      <c r="C450" s="111" t="s">
        <v>432</v>
      </c>
      <c r="D450" s="111"/>
      <c r="E450" s="111"/>
      <c r="F450" s="111"/>
      <c r="G450" s="111"/>
      <c r="H450" s="111"/>
      <c r="I450" s="44"/>
      <c r="J450" s="55"/>
      <c r="K450" s="42"/>
      <c r="L450" s="44">
        <f>SUMIF(CD53:CD430, 2, BA53:BA430)</f>
        <v>15242.340000000002</v>
      </c>
    </row>
    <row r="451" spans="1:12" hidden="1" x14ac:dyDescent="0.2"/>
    <row r="452" spans="1:12" ht="15" hidden="1" x14ac:dyDescent="0.2">
      <c r="A452" s="59"/>
      <c r="B452" s="60"/>
      <c r="C452" s="112" t="s">
        <v>434</v>
      </c>
      <c r="D452" s="112"/>
      <c r="E452" s="112"/>
      <c r="F452" s="112"/>
      <c r="G452" s="112"/>
      <c r="H452" s="112"/>
      <c r="I452" s="47"/>
      <c r="J452" s="59"/>
      <c r="K452" s="61"/>
      <c r="L452" s="47">
        <f>L454+L455</f>
        <v>0</v>
      </c>
    </row>
    <row r="453" spans="1:12" ht="14.25" hidden="1" x14ac:dyDescent="0.2">
      <c r="A453" s="55"/>
      <c r="B453" s="58"/>
      <c r="C453" s="110" t="s">
        <v>380</v>
      </c>
      <c r="D453" s="111"/>
      <c r="E453" s="111"/>
      <c r="F453" s="111"/>
      <c r="G453" s="111"/>
      <c r="H453" s="111"/>
      <c r="I453" s="44"/>
      <c r="J453" s="55"/>
      <c r="K453" s="42"/>
      <c r="L453" s="44"/>
    </row>
    <row r="454" spans="1:12" ht="14.25" hidden="1" x14ac:dyDescent="0.2">
      <c r="A454" s="55"/>
      <c r="B454" s="58"/>
      <c r="C454" s="111" t="s">
        <v>394</v>
      </c>
      <c r="D454" s="111"/>
      <c r="E454" s="111"/>
      <c r="F454" s="111"/>
      <c r="G454" s="111"/>
      <c r="H454" s="111"/>
      <c r="I454" s="44"/>
      <c r="J454" s="55"/>
      <c r="K454" s="42"/>
      <c r="L454" s="44">
        <f>SUMIF(CD53:CD450, 3, BK53:BK450)</f>
        <v>0</v>
      </c>
    </row>
    <row r="455" spans="1:12" ht="14.25" hidden="1" x14ac:dyDescent="0.2">
      <c r="A455" s="55"/>
      <c r="B455" s="58"/>
      <c r="C455" s="111" t="s">
        <v>395</v>
      </c>
      <c r="D455" s="111"/>
      <c r="E455" s="111"/>
      <c r="F455" s="111"/>
      <c r="G455" s="111"/>
      <c r="H455" s="111"/>
      <c r="I455" s="44"/>
      <c r="J455" s="55"/>
      <c r="K455" s="42"/>
      <c r="L455" s="44">
        <f>SUMIF(CD53:CD450, 3, BD53:BD450)</f>
        <v>0</v>
      </c>
    </row>
    <row r="457" spans="1:12" ht="15" x14ac:dyDescent="0.2">
      <c r="A457" s="59"/>
      <c r="B457" s="60"/>
      <c r="C457" s="112" t="s">
        <v>435</v>
      </c>
      <c r="D457" s="112"/>
      <c r="E457" s="112"/>
      <c r="F457" s="112"/>
      <c r="G457" s="112"/>
      <c r="H457" s="112"/>
      <c r="I457" s="47"/>
      <c r="J457" s="59"/>
      <c r="K457" s="61"/>
      <c r="L457" s="47">
        <f>L463+L478+L479+L459+L460</f>
        <v>249443.67</v>
      </c>
    </row>
    <row r="458" spans="1:12" ht="14.25" x14ac:dyDescent="0.2">
      <c r="A458" s="55"/>
      <c r="B458" s="58"/>
      <c r="C458" s="110" t="s">
        <v>380</v>
      </c>
      <c r="D458" s="111"/>
      <c r="E458" s="111"/>
      <c r="F458" s="111"/>
      <c r="G458" s="111"/>
      <c r="H458" s="111"/>
      <c r="I458" s="44"/>
      <c r="J458" s="55"/>
      <c r="K458" s="42"/>
      <c r="L458" s="44"/>
    </row>
    <row r="459" spans="1:12" ht="14.25" hidden="1" x14ac:dyDescent="0.2">
      <c r="A459" s="55"/>
      <c r="B459" s="58"/>
      <c r="C459" s="111" t="s">
        <v>436</v>
      </c>
      <c r="D459" s="111"/>
      <c r="E459" s="111"/>
      <c r="F459" s="111"/>
      <c r="G459" s="111"/>
      <c r="H459" s="111"/>
      <c r="I459" s="44"/>
      <c r="J459" s="55"/>
      <c r="K459" s="42"/>
      <c r="L459" s="44"/>
    </row>
    <row r="460" spans="1:12" ht="14.25" hidden="1" x14ac:dyDescent="0.2">
      <c r="A460" s="55"/>
      <c r="B460" s="58"/>
      <c r="C460" s="111" t="s">
        <v>437</v>
      </c>
      <c r="D460" s="111"/>
      <c r="E460" s="111"/>
      <c r="F460" s="111"/>
      <c r="G460" s="111"/>
      <c r="H460" s="111"/>
      <c r="I460" s="44"/>
      <c r="J460" s="55"/>
      <c r="K460" s="42"/>
      <c r="L460" s="44">
        <f>SUM(BO53:BO455)</f>
        <v>0</v>
      </c>
    </row>
    <row r="461" spans="1:12" ht="14.25" x14ac:dyDescent="0.2">
      <c r="A461" s="55"/>
      <c r="B461" s="58"/>
      <c r="C461" s="111" t="s">
        <v>111</v>
      </c>
      <c r="D461" s="111"/>
      <c r="E461" s="111"/>
      <c r="F461" s="111"/>
      <c r="G461" s="111"/>
      <c r="H461" s="111"/>
      <c r="I461" s="44"/>
      <c r="J461" s="55"/>
      <c r="K461" s="42"/>
      <c r="L461" s="44">
        <f>L463+L478+L479</f>
        <v>249443.67</v>
      </c>
    </row>
    <row r="462" spans="1:12" ht="14.25" x14ac:dyDescent="0.2">
      <c r="A462" s="55"/>
      <c r="B462" s="58"/>
      <c r="C462" s="110" t="s">
        <v>380</v>
      </c>
      <c r="D462" s="111"/>
      <c r="E462" s="111"/>
      <c r="F462" s="111"/>
      <c r="G462" s="111"/>
      <c r="H462" s="111"/>
      <c r="I462" s="44"/>
      <c r="J462" s="55"/>
      <c r="K462" s="42"/>
      <c r="L462" s="44"/>
    </row>
    <row r="463" spans="1:12" ht="14.25" x14ac:dyDescent="0.2">
      <c r="A463" s="55"/>
      <c r="B463" s="58"/>
      <c r="C463" s="111" t="s">
        <v>428</v>
      </c>
      <c r="D463" s="111"/>
      <c r="E463" s="111"/>
      <c r="F463" s="111"/>
      <c r="G463" s="111"/>
      <c r="H463" s="111"/>
      <c r="I463" s="44"/>
      <c r="J463" s="55"/>
      <c r="K463" s="42"/>
      <c r="L463" s="44">
        <f>L465+L466+L472+L476</f>
        <v>118782.69000000002</v>
      </c>
    </row>
    <row r="464" spans="1:12" ht="14.25" x14ac:dyDescent="0.2">
      <c r="A464" s="55"/>
      <c r="B464" s="58"/>
      <c r="C464" s="110" t="s">
        <v>380</v>
      </c>
      <c r="D464" s="111"/>
      <c r="E464" s="111"/>
      <c r="F464" s="111"/>
      <c r="G464" s="111"/>
      <c r="H464" s="111"/>
      <c r="I464" s="44"/>
      <c r="J464" s="55"/>
      <c r="K464" s="42"/>
      <c r="L464" s="44"/>
    </row>
    <row r="465" spans="1:12" ht="14.25" x14ac:dyDescent="0.2">
      <c r="A465" s="55"/>
      <c r="B465" s="58"/>
      <c r="C465" s="111" t="s">
        <v>429</v>
      </c>
      <c r="D465" s="111"/>
      <c r="E465" s="111"/>
      <c r="F465" s="111"/>
      <c r="G465" s="111"/>
      <c r="H465" s="111"/>
      <c r="I465" s="44"/>
      <c r="J465" s="55"/>
      <c r="K465" s="42"/>
      <c r="L465" s="44">
        <f>SUMIF(CD53:CD455, 4, AR53:AR455)</f>
        <v>118782.69000000002</v>
      </c>
    </row>
    <row r="466" spans="1:12" ht="14.25" hidden="1" x14ac:dyDescent="0.2">
      <c r="A466" s="55"/>
      <c r="B466" s="58"/>
      <c r="C466" s="111" t="s">
        <v>382</v>
      </c>
      <c r="D466" s="111"/>
      <c r="E466" s="111"/>
      <c r="F466" s="111"/>
      <c r="G466" s="111"/>
      <c r="H466" s="111"/>
      <c r="I466" s="44"/>
      <c r="J466" s="55"/>
      <c r="K466" s="42"/>
      <c r="L466" s="44">
        <f>L468+L471+L470</f>
        <v>0</v>
      </c>
    </row>
    <row r="467" spans="1:12" ht="14.25" hidden="1" x14ac:dyDescent="0.2">
      <c r="A467" s="55"/>
      <c r="B467" s="58"/>
      <c r="C467" s="110" t="s">
        <v>383</v>
      </c>
      <c r="D467" s="111"/>
      <c r="E467" s="111"/>
      <c r="F467" s="111"/>
      <c r="G467" s="111"/>
      <c r="H467" s="111"/>
      <c r="I467" s="44"/>
      <c r="J467" s="55"/>
      <c r="K467" s="42"/>
      <c r="L467" s="44"/>
    </row>
    <row r="468" spans="1:12" ht="14.25" hidden="1" x14ac:dyDescent="0.2">
      <c r="A468" s="55"/>
      <c r="B468" s="58"/>
      <c r="C468" s="111" t="s">
        <v>382</v>
      </c>
      <c r="D468" s="111"/>
      <c r="E468" s="111"/>
      <c r="F468" s="111"/>
      <c r="G468" s="111"/>
      <c r="H468" s="111"/>
      <c r="I468" s="44"/>
      <c r="J468" s="55"/>
      <c r="K468" s="42"/>
      <c r="L468" s="44">
        <f>SUMIF(CD53:CD455, 4, AO53:AO455)</f>
        <v>0</v>
      </c>
    </row>
    <row r="469" spans="1:12" ht="14.25" hidden="1" x14ac:dyDescent="0.2">
      <c r="A469" s="55"/>
      <c r="B469" s="58"/>
      <c r="C469" s="110" t="s">
        <v>384</v>
      </c>
      <c r="D469" s="111"/>
      <c r="E469" s="111"/>
      <c r="F469" s="111"/>
      <c r="G469" s="111"/>
      <c r="H469" s="111"/>
      <c r="I469" s="44"/>
      <c r="J469" s="55"/>
      <c r="K469" s="42"/>
      <c r="L469" s="44"/>
    </row>
    <row r="470" spans="1:12" ht="14.25" hidden="1" x14ac:dyDescent="0.2">
      <c r="A470" s="55"/>
      <c r="B470" s="58"/>
      <c r="C470" s="111" t="s">
        <v>404</v>
      </c>
      <c r="D470" s="111"/>
      <c r="E470" s="111"/>
      <c r="F470" s="111"/>
      <c r="G470" s="111"/>
      <c r="H470" s="111"/>
      <c r="I470" s="44"/>
      <c r="J470" s="55"/>
      <c r="K470" s="42"/>
      <c r="L470" s="44">
        <f>SUMIF(CD53:CD455, 4, AT53:AT455)</f>
        <v>0</v>
      </c>
    </row>
    <row r="471" spans="1:12" ht="14.25" hidden="1" x14ac:dyDescent="0.2">
      <c r="A471" s="55"/>
      <c r="B471" s="58"/>
      <c r="C471" s="111" t="s">
        <v>385</v>
      </c>
      <c r="D471" s="111"/>
      <c r="E471" s="111"/>
      <c r="F471" s="111"/>
      <c r="G471" s="111"/>
      <c r="H471" s="111"/>
      <c r="I471" s="44"/>
      <c r="J471" s="55"/>
      <c r="K471" s="42"/>
      <c r="L471" s="44">
        <f>SUMIF(CD53:CD455, 4, AV53:AV455)</f>
        <v>0</v>
      </c>
    </row>
    <row r="472" spans="1:12" ht="14.25" hidden="1" x14ac:dyDescent="0.2">
      <c r="A472" s="55"/>
      <c r="B472" s="58"/>
      <c r="C472" s="111" t="s">
        <v>386</v>
      </c>
      <c r="D472" s="111"/>
      <c r="E472" s="111"/>
      <c r="F472" s="111"/>
      <c r="G472" s="111"/>
      <c r="H472" s="111"/>
      <c r="I472" s="44"/>
      <c r="J472" s="55"/>
      <c r="K472" s="42"/>
      <c r="L472" s="44">
        <f>L474+L475</f>
        <v>0</v>
      </c>
    </row>
    <row r="473" spans="1:12" ht="14.25" hidden="1" x14ac:dyDescent="0.2">
      <c r="A473" s="55"/>
      <c r="B473" s="58"/>
      <c r="C473" s="110" t="s">
        <v>383</v>
      </c>
      <c r="D473" s="111"/>
      <c r="E473" s="111"/>
      <c r="F473" s="111"/>
      <c r="G473" s="111"/>
      <c r="H473" s="111"/>
      <c r="I473" s="44"/>
      <c r="J473" s="55"/>
      <c r="K473" s="42"/>
      <c r="L473" s="44"/>
    </row>
    <row r="474" spans="1:12" ht="14.25" hidden="1" x14ac:dyDescent="0.2">
      <c r="A474" s="55"/>
      <c r="B474" s="58"/>
      <c r="C474" s="111" t="s">
        <v>387</v>
      </c>
      <c r="D474" s="111"/>
      <c r="E474" s="111"/>
      <c r="F474" s="111"/>
      <c r="G474" s="111"/>
      <c r="H474" s="111"/>
      <c r="I474" s="44"/>
      <c r="J474" s="55"/>
      <c r="K474" s="42"/>
      <c r="L474" s="44">
        <f>SUMIF(CD53:CD455, 4, AW53:AW455)-SUMIF(CD53:CD455, 4, BK53:BK455)</f>
        <v>0</v>
      </c>
    </row>
    <row r="475" spans="1:12" ht="14.25" hidden="1" x14ac:dyDescent="0.2">
      <c r="A475" s="55"/>
      <c r="B475" s="58"/>
      <c r="C475" s="111" t="s">
        <v>388</v>
      </c>
      <c r="D475" s="111"/>
      <c r="E475" s="111"/>
      <c r="F475" s="111"/>
      <c r="G475" s="111"/>
      <c r="H475" s="111"/>
      <c r="I475" s="44"/>
      <c r="J475" s="55"/>
      <c r="K475" s="42"/>
      <c r="L475" s="44">
        <f>SUMIF(CD53:CD455, 4, BC53:BC455)</f>
        <v>0</v>
      </c>
    </row>
    <row r="476" spans="1:12" ht="14.25" hidden="1" x14ac:dyDescent="0.2">
      <c r="A476" s="55"/>
      <c r="B476" s="58"/>
      <c r="C476" s="111" t="s">
        <v>389</v>
      </c>
      <c r="D476" s="111"/>
      <c r="E476" s="111"/>
      <c r="F476" s="111"/>
      <c r="G476" s="111"/>
      <c r="H476" s="111"/>
      <c r="I476" s="44"/>
      <c r="J476" s="55"/>
      <c r="K476" s="42"/>
      <c r="L476" s="44">
        <f>SUMIF(CD53:CD455, 4, BB53:BB455)</f>
        <v>0</v>
      </c>
    </row>
    <row r="477" spans="1:12" ht="14.25" x14ac:dyDescent="0.2">
      <c r="A477" s="55"/>
      <c r="B477" s="58"/>
      <c r="C477" s="111" t="s">
        <v>430</v>
      </c>
      <c r="D477" s="111"/>
      <c r="E477" s="111"/>
      <c r="F477" s="111"/>
      <c r="G477" s="111"/>
      <c r="H477" s="111"/>
      <c r="I477" s="44"/>
      <c r="J477" s="55"/>
      <c r="K477" s="42"/>
      <c r="L477" s="44">
        <f>SUMIF(CD53:CD455, 4, AR53:AR455)+SUMIF(CD53:CD455, 4, AT53:AT455)+SUMIF(CD53:CD455, 4, AV53:AV455)</f>
        <v>118782.69000000002</v>
      </c>
    </row>
    <row r="478" spans="1:12" ht="14.25" x14ac:dyDescent="0.2">
      <c r="A478" s="55"/>
      <c r="B478" s="58"/>
      <c r="C478" s="111" t="s">
        <v>431</v>
      </c>
      <c r="D478" s="111"/>
      <c r="E478" s="111"/>
      <c r="F478" s="111"/>
      <c r="G478" s="111"/>
      <c r="H478" s="111"/>
      <c r="I478" s="44"/>
      <c r="J478" s="55"/>
      <c r="K478" s="42"/>
      <c r="L478" s="44">
        <f>SUMIF(CD53:CD455, 4, AZ53:AZ455)</f>
        <v>87899.200000000012</v>
      </c>
    </row>
    <row r="479" spans="1:12" ht="14.25" x14ac:dyDescent="0.2">
      <c r="A479" s="55"/>
      <c r="B479" s="58"/>
      <c r="C479" s="111" t="s">
        <v>432</v>
      </c>
      <c r="D479" s="111"/>
      <c r="E479" s="111"/>
      <c r="F479" s="111"/>
      <c r="G479" s="111"/>
      <c r="H479" s="111"/>
      <c r="I479" s="44"/>
      <c r="J479" s="55"/>
      <c r="K479" s="42"/>
      <c r="L479" s="44">
        <f>SUMIF(CD53:CD455, 4, BA53:BA455)</f>
        <v>42761.780000000006</v>
      </c>
    </row>
    <row r="481" spans="1:12" ht="15" x14ac:dyDescent="0.2">
      <c r="A481" s="59"/>
      <c r="B481" s="60"/>
      <c r="C481" s="112" t="s">
        <v>438</v>
      </c>
      <c r="D481" s="112"/>
      <c r="E481" s="112"/>
      <c r="F481" s="112"/>
      <c r="G481" s="112"/>
      <c r="H481" s="112"/>
      <c r="I481" s="47"/>
      <c r="J481" s="59"/>
      <c r="K481" s="61"/>
      <c r="L481" s="47">
        <f>L402+L235+L198+L123</f>
        <v>1936909.8199999998</v>
      </c>
    </row>
    <row r="482" spans="1:12" ht="14.25" x14ac:dyDescent="0.2">
      <c r="A482" s="55"/>
      <c r="B482" s="58"/>
      <c r="C482" s="110" t="s">
        <v>380</v>
      </c>
      <c r="D482" s="111"/>
      <c r="E482" s="111"/>
      <c r="F482" s="111"/>
      <c r="G482" s="111"/>
      <c r="H482" s="111"/>
      <c r="I482" s="44"/>
      <c r="J482" s="55"/>
      <c r="K482" s="42"/>
      <c r="L482" s="44"/>
    </row>
    <row r="483" spans="1:12" ht="14.25" x14ac:dyDescent="0.2">
      <c r="A483" s="55"/>
      <c r="B483" s="58"/>
      <c r="C483" s="111" t="s">
        <v>428</v>
      </c>
      <c r="D483" s="111"/>
      <c r="E483" s="111"/>
      <c r="F483" s="111"/>
      <c r="G483" s="111"/>
      <c r="H483" s="111"/>
      <c r="I483" s="44"/>
      <c r="J483" s="55"/>
      <c r="K483" s="42"/>
      <c r="L483" s="44">
        <f>L485+L486+L492+L496</f>
        <v>1762016.17</v>
      </c>
    </row>
    <row r="484" spans="1:12" ht="14.25" x14ac:dyDescent="0.2">
      <c r="A484" s="55"/>
      <c r="B484" s="58"/>
      <c r="C484" s="110" t="s">
        <v>380</v>
      </c>
      <c r="D484" s="111"/>
      <c r="E484" s="111"/>
      <c r="F484" s="111"/>
      <c r="G484" s="111"/>
      <c r="H484" s="111"/>
      <c r="I484" s="44"/>
      <c r="J484" s="55"/>
      <c r="K484" s="42"/>
      <c r="L484" s="44"/>
    </row>
    <row r="485" spans="1:12" ht="14.25" x14ac:dyDescent="0.2">
      <c r="A485" s="55"/>
      <c r="B485" s="58"/>
      <c r="C485" s="111" t="s">
        <v>429</v>
      </c>
      <c r="D485" s="111"/>
      <c r="E485" s="111"/>
      <c r="F485" s="111"/>
      <c r="G485" s="111"/>
      <c r="H485" s="111"/>
      <c r="I485" s="44"/>
      <c r="J485" s="55"/>
      <c r="K485" s="42"/>
      <c r="L485" s="44">
        <f>SUM(AR53:AR479)</f>
        <v>145843.95000000001</v>
      </c>
    </row>
    <row r="486" spans="1:12" ht="14.25" hidden="1" x14ac:dyDescent="0.2">
      <c r="A486" s="55"/>
      <c r="B486" s="58"/>
      <c r="C486" s="111" t="s">
        <v>382</v>
      </c>
      <c r="D486" s="111"/>
      <c r="E486" s="111"/>
      <c r="F486" s="111"/>
      <c r="G486" s="111"/>
      <c r="H486" s="111"/>
      <c r="I486" s="44"/>
      <c r="J486" s="55"/>
      <c r="K486" s="42"/>
      <c r="L486" s="44">
        <f>L488+L491+L490</f>
        <v>8147.1599999999989</v>
      </c>
    </row>
    <row r="487" spans="1:12" ht="14.25" hidden="1" x14ac:dyDescent="0.2">
      <c r="A487" s="55"/>
      <c r="B487" s="58"/>
      <c r="C487" s="110" t="s">
        <v>383</v>
      </c>
      <c r="D487" s="111"/>
      <c r="E487" s="111"/>
      <c r="F487" s="111"/>
      <c r="G487" s="111"/>
      <c r="H487" s="111"/>
      <c r="I487" s="44"/>
      <c r="J487" s="55"/>
      <c r="K487" s="42"/>
      <c r="L487" s="44"/>
    </row>
    <row r="488" spans="1:12" ht="14.25" x14ac:dyDescent="0.2">
      <c r="A488" s="55"/>
      <c r="B488" s="58"/>
      <c r="C488" s="111" t="s">
        <v>382</v>
      </c>
      <c r="D488" s="111"/>
      <c r="E488" s="111"/>
      <c r="F488" s="111"/>
      <c r="G488" s="111"/>
      <c r="H488" s="111"/>
      <c r="I488" s="44"/>
      <c r="J488" s="55"/>
      <c r="K488" s="42"/>
      <c r="L488" s="44">
        <f>SUM(AO53:AO479)</f>
        <v>5321.4799999999987</v>
      </c>
    </row>
    <row r="489" spans="1:12" ht="14.25" hidden="1" x14ac:dyDescent="0.2">
      <c r="A489" s="55"/>
      <c r="B489" s="58"/>
      <c r="C489" s="110" t="s">
        <v>384</v>
      </c>
      <c r="D489" s="111"/>
      <c r="E489" s="111"/>
      <c r="F489" s="111"/>
      <c r="G489" s="111"/>
      <c r="H489" s="111"/>
      <c r="I489" s="44"/>
      <c r="J489" s="55"/>
      <c r="K489" s="42"/>
      <c r="L489" s="44"/>
    </row>
    <row r="490" spans="1:12" ht="14.25" x14ac:dyDescent="0.2">
      <c r="A490" s="55"/>
      <c r="B490" s="58"/>
      <c r="C490" s="111" t="s">
        <v>404</v>
      </c>
      <c r="D490" s="111"/>
      <c r="E490" s="111"/>
      <c r="F490" s="111"/>
      <c r="G490" s="111"/>
      <c r="H490" s="111"/>
      <c r="I490" s="44"/>
      <c r="J490" s="55"/>
      <c r="K490" s="42"/>
      <c r="L490" s="44">
        <f>SUM(AT53:AT479)</f>
        <v>2825.6800000000003</v>
      </c>
    </row>
    <row r="491" spans="1:12" ht="14.25" hidden="1" x14ac:dyDescent="0.2">
      <c r="A491" s="55"/>
      <c r="B491" s="58"/>
      <c r="C491" s="111" t="s">
        <v>385</v>
      </c>
      <c r="D491" s="111"/>
      <c r="E491" s="111"/>
      <c r="F491" s="111"/>
      <c r="G491" s="111"/>
      <c r="H491" s="111"/>
      <c r="I491" s="44"/>
      <c r="J491" s="55"/>
      <c r="K491" s="42"/>
      <c r="L491" s="44">
        <f>SUM(AV53:AV479)</f>
        <v>0</v>
      </c>
    </row>
    <row r="492" spans="1:12" ht="14.25" x14ac:dyDescent="0.2">
      <c r="A492" s="55"/>
      <c r="B492" s="58"/>
      <c r="C492" s="111" t="s">
        <v>386</v>
      </c>
      <c r="D492" s="111"/>
      <c r="E492" s="111"/>
      <c r="F492" s="111"/>
      <c r="G492" s="111"/>
      <c r="H492" s="111"/>
      <c r="I492" s="44"/>
      <c r="J492" s="55"/>
      <c r="K492" s="42"/>
      <c r="L492" s="44">
        <f>L494+L495</f>
        <v>1608025.0599999998</v>
      </c>
    </row>
    <row r="493" spans="1:12" ht="14.25" x14ac:dyDescent="0.2">
      <c r="A493" s="55"/>
      <c r="B493" s="58"/>
      <c r="C493" s="110" t="s">
        <v>383</v>
      </c>
      <c r="D493" s="111"/>
      <c r="E493" s="111"/>
      <c r="F493" s="111"/>
      <c r="G493" s="111"/>
      <c r="H493" s="111"/>
      <c r="I493" s="44"/>
      <c r="J493" s="55"/>
      <c r="K493" s="42"/>
      <c r="L493" s="44"/>
    </row>
    <row r="494" spans="1:12" ht="14.25" x14ac:dyDescent="0.2">
      <c r="A494" s="55"/>
      <c r="B494" s="58"/>
      <c r="C494" s="111" t="s">
        <v>387</v>
      </c>
      <c r="D494" s="111"/>
      <c r="E494" s="111"/>
      <c r="F494" s="111"/>
      <c r="G494" s="111"/>
      <c r="H494" s="111"/>
      <c r="I494" s="44"/>
      <c r="J494" s="55"/>
      <c r="K494" s="42"/>
      <c r="L494" s="44">
        <f>SUM(AW53:AW479)-SUM(BK53:BK479)</f>
        <v>1608025.0599999998</v>
      </c>
    </row>
    <row r="495" spans="1:12" ht="14.25" hidden="1" x14ac:dyDescent="0.2">
      <c r="A495" s="55"/>
      <c r="B495" s="58"/>
      <c r="C495" s="111" t="s">
        <v>388</v>
      </c>
      <c r="D495" s="111"/>
      <c r="E495" s="111"/>
      <c r="F495" s="111"/>
      <c r="G495" s="111"/>
      <c r="H495" s="111"/>
      <c r="I495" s="44"/>
      <c r="J495" s="55"/>
      <c r="K495" s="42"/>
      <c r="L495" s="44">
        <f>SUM(BC53:BC479)</f>
        <v>0</v>
      </c>
    </row>
    <row r="496" spans="1:12" ht="14.25" hidden="1" x14ac:dyDescent="0.2">
      <c r="A496" s="55"/>
      <c r="B496" s="58"/>
      <c r="C496" s="111" t="s">
        <v>389</v>
      </c>
      <c r="D496" s="111"/>
      <c r="E496" s="111"/>
      <c r="F496" s="111"/>
      <c r="G496" s="111"/>
      <c r="H496" s="111"/>
      <c r="I496" s="44"/>
      <c r="J496" s="55"/>
      <c r="K496" s="42"/>
      <c r="L496" s="44">
        <f>SUM(BB53:BB479)</f>
        <v>0</v>
      </c>
    </row>
    <row r="497" spans="1:14" ht="14.25" x14ac:dyDescent="0.2">
      <c r="A497" s="55"/>
      <c r="B497" s="58"/>
      <c r="C497" s="111" t="s">
        <v>390</v>
      </c>
      <c r="D497" s="111"/>
      <c r="E497" s="111"/>
      <c r="F497" s="111"/>
      <c r="G497" s="111"/>
      <c r="H497" s="111"/>
      <c r="I497" s="44"/>
      <c r="J497" s="55"/>
      <c r="K497" s="42"/>
      <c r="L497" s="44">
        <f>SUM(AR53:AR479)+SUM(AT53:AT479)+SUM(AV53:AV479)</f>
        <v>148669.63</v>
      </c>
    </row>
    <row r="498" spans="1:14" ht="14.25" x14ac:dyDescent="0.2">
      <c r="A498" s="55"/>
      <c r="B498" s="58"/>
      <c r="C498" s="111" t="s">
        <v>391</v>
      </c>
      <c r="D498" s="111"/>
      <c r="E498" s="111"/>
      <c r="F498" s="111"/>
      <c r="G498" s="111"/>
      <c r="H498" s="111"/>
      <c r="I498" s="44"/>
      <c r="J498" s="55"/>
      <c r="K498" s="42"/>
      <c r="L498" s="44">
        <f>SUM(AZ53:AZ479)</f>
        <v>116889.53000000001</v>
      </c>
    </row>
    <row r="499" spans="1:14" ht="14.25" x14ac:dyDescent="0.2">
      <c r="A499" s="55"/>
      <c r="B499" s="58"/>
      <c r="C499" s="111" t="s">
        <v>392</v>
      </c>
      <c r="D499" s="111"/>
      <c r="E499" s="111"/>
      <c r="F499" s="111"/>
      <c r="G499" s="111"/>
      <c r="H499" s="111"/>
      <c r="I499" s="44"/>
      <c r="J499" s="55"/>
      <c r="K499" s="42"/>
      <c r="L499" s="44">
        <f>SUM(BA53:BA479)</f>
        <v>58004.12</v>
      </c>
    </row>
    <row r="500" spans="1:14" ht="14.25" hidden="1" x14ac:dyDescent="0.2">
      <c r="A500" s="55"/>
      <c r="B500" s="58"/>
      <c r="C500" s="111" t="s">
        <v>439</v>
      </c>
      <c r="D500" s="111"/>
      <c r="E500" s="111"/>
      <c r="F500" s="111"/>
      <c r="G500" s="111"/>
      <c r="H500" s="111"/>
      <c r="I500" s="44"/>
      <c r="J500" s="55"/>
      <c r="K500" s="42"/>
      <c r="L500" s="44">
        <f>L502+L503</f>
        <v>0</v>
      </c>
    </row>
    <row r="501" spans="1:14" ht="14.25" hidden="1" x14ac:dyDescent="0.2">
      <c r="A501" s="55"/>
      <c r="B501" s="58"/>
      <c r="C501" s="110" t="s">
        <v>380</v>
      </c>
      <c r="D501" s="111"/>
      <c r="E501" s="111"/>
      <c r="F501" s="111"/>
      <c r="G501" s="111"/>
      <c r="H501" s="111"/>
      <c r="I501" s="44"/>
      <c r="J501" s="55"/>
      <c r="K501" s="42"/>
      <c r="L501" s="44"/>
    </row>
    <row r="502" spans="1:14" ht="14.25" hidden="1" x14ac:dyDescent="0.2">
      <c r="A502" s="55"/>
      <c r="B502" s="58"/>
      <c r="C502" s="111" t="s">
        <v>394</v>
      </c>
      <c r="D502" s="111"/>
      <c r="E502" s="111"/>
      <c r="F502" s="111"/>
      <c r="G502" s="111"/>
      <c r="H502" s="111"/>
      <c r="I502" s="44"/>
      <c r="J502" s="55"/>
      <c r="K502" s="42"/>
      <c r="L502" s="44">
        <f>SUM(BK53:BK479)</f>
        <v>0</v>
      </c>
    </row>
    <row r="503" spans="1:14" ht="14.25" hidden="1" x14ac:dyDescent="0.2">
      <c r="A503" s="55"/>
      <c r="B503" s="58"/>
      <c r="C503" s="111" t="s">
        <v>395</v>
      </c>
      <c r="D503" s="111"/>
      <c r="E503" s="111"/>
      <c r="F503" s="111"/>
      <c r="G503" s="111"/>
      <c r="H503" s="111"/>
      <c r="I503" s="44"/>
      <c r="J503" s="55"/>
      <c r="K503" s="42"/>
      <c r="L503" s="44">
        <f>SUM(BD53:BD479)</f>
        <v>0</v>
      </c>
    </row>
    <row r="504" spans="1:14" ht="14.25" x14ac:dyDescent="0.2">
      <c r="A504" s="55"/>
      <c r="B504" s="58"/>
      <c r="C504" s="111" t="s">
        <v>440</v>
      </c>
      <c r="D504" s="111"/>
      <c r="E504" s="111"/>
      <c r="F504" s="111"/>
      <c r="G504" s="111"/>
      <c r="H504" s="111"/>
      <c r="I504" s="44"/>
      <c r="J504" s="55"/>
      <c r="K504" s="42"/>
      <c r="L504" s="44">
        <f>L457</f>
        <v>249443.67</v>
      </c>
    </row>
    <row r="505" spans="1:14" ht="14.25" x14ac:dyDescent="0.2">
      <c r="A505" s="55"/>
      <c r="B505" s="58"/>
      <c r="C505" s="112" t="s">
        <v>399</v>
      </c>
      <c r="D505" s="111"/>
      <c r="E505" s="111"/>
      <c r="F505" s="111"/>
      <c r="G505" s="111"/>
      <c r="H505" s="111"/>
      <c r="I505" s="44"/>
      <c r="J505" s="55"/>
      <c r="K505" s="42"/>
      <c r="L505" s="44"/>
    </row>
    <row r="506" spans="1:14" ht="14.25" x14ac:dyDescent="0.2">
      <c r="A506" s="55"/>
      <c r="B506" s="58"/>
      <c r="C506" s="111" t="s">
        <v>400</v>
      </c>
      <c r="D506" s="111"/>
      <c r="E506" s="111"/>
      <c r="F506" s="111"/>
      <c r="G506" s="111"/>
      <c r="H506" s="111"/>
      <c r="I506" s="44"/>
      <c r="J506" s="55"/>
      <c r="K506" s="42"/>
      <c r="L506" s="44">
        <f>SUM(AX53:AX479)</f>
        <v>1606416.66</v>
      </c>
    </row>
    <row r="507" spans="1:14" ht="14.25" hidden="1" x14ac:dyDescent="0.2">
      <c r="A507" s="55"/>
      <c r="B507" s="58"/>
      <c r="C507" s="111" t="s">
        <v>401</v>
      </c>
      <c r="D507" s="111"/>
      <c r="E507" s="111"/>
      <c r="F507" s="111"/>
      <c r="G507" s="111"/>
      <c r="H507" s="111"/>
      <c r="I507" s="44"/>
      <c r="J507" s="55"/>
      <c r="K507" s="42"/>
      <c r="L507" s="44">
        <f>SUM(AY53:AY479)</f>
        <v>0</v>
      </c>
    </row>
    <row r="508" spans="1:14" ht="14.25" x14ac:dyDescent="0.2">
      <c r="A508" s="55"/>
      <c r="B508" s="58"/>
      <c r="C508" s="111" t="s">
        <v>402</v>
      </c>
      <c r="D508" s="111"/>
      <c r="E508" s="111"/>
      <c r="F508" s="113"/>
      <c r="G508" s="46">
        <f>Source!F207</f>
        <v>277.49040000000002</v>
      </c>
      <c r="H508" s="55"/>
      <c r="I508" s="55"/>
      <c r="J508" s="55"/>
      <c r="K508" s="55"/>
      <c r="L508" s="55"/>
    </row>
    <row r="509" spans="1:14" ht="14.25" x14ac:dyDescent="0.2">
      <c r="A509" s="55"/>
      <c r="B509" s="58"/>
      <c r="C509" s="111" t="s">
        <v>403</v>
      </c>
      <c r="D509" s="111"/>
      <c r="E509" s="111"/>
      <c r="F509" s="113"/>
      <c r="G509" s="46">
        <f>Source!F208</f>
        <v>5.5949920000000004</v>
      </c>
      <c r="H509" s="55"/>
      <c r="I509" s="55"/>
      <c r="J509" s="55"/>
      <c r="K509" s="55"/>
      <c r="L509" s="55"/>
    </row>
    <row r="511" spans="1:14" ht="15.75" x14ac:dyDescent="0.25">
      <c r="C511" s="85" t="str">
        <f>Source!H214</f>
        <v>Итого</v>
      </c>
      <c r="D511" s="85"/>
      <c r="E511" s="85"/>
      <c r="F511" s="85"/>
      <c r="G511" s="85"/>
      <c r="H511" s="85"/>
      <c r="I511" s="85"/>
      <c r="J511" s="85"/>
      <c r="K511" s="85"/>
      <c r="L511" s="76">
        <f>L402+L235+L198+L123</f>
        <v>1936909.8199999998</v>
      </c>
      <c r="N511" s="77">
        <f>1936909.82-L511</f>
        <v>0</v>
      </c>
    </row>
    <row r="512" spans="1:14" ht="15.75" x14ac:dyDescent="0.25">
      <c r="C512" s="84" t="s">
        <v>444</v>
      </c>
      <c r="D512" s="84"/>
      <c r="E512" s="84"/>
      <c r="F512" s="84"/>
      <c r="G512" s="70"/>
      <c r="H512" s="70"/>
      <c r="I512" s="70"/>
      <c r="J512" s="72"/>
      <c r="K512" s="72"/>
      <c r="L512" s="71">
        <v>16128</v>
      </c>
    </row>
    <row r="513" spans="1:12" ht="15.75" x14ac:dyDescent="0.25">
      <c r="C513" s="70" t="s">
        <v>181</v>
      </c>
      <c r="D513" s="70"/>
      <c r="E513" s="70"/>
      <c r="F513" s="73"/>
      <c r="G513" s="70"/>
      <c r="H513" s="70"/>
      <c r="I513" s="70"/>
      <c r="J513" s="72"/>
      <c r="K513" s="72"/>
      <c r="L513" s="71">
        <f>L512+L511</f>
        <v>1953037.8199999998</v>
      </c>
    </row>
    <row r="514" spans="1:12" ht="15.75" x14ac:dyDescent="0.25">
      <c r="C514" s="70" t="s">
        <v>445</v>
      </c>
      <c r="D514" s="74">
        <v>0.2</v>
      </c>
      <c r="E514" s="70"/>
      <c r="F514" s="73"/>
      <c r="G514" s="70"/>
      <c r="H514" s="70"/>
      <c r="I514" s="70"/>
      <c r="J514" s="72"/>
      <c r="K514" s="72"/>
      <c r="L514" s="71">
        <f>0.2*L513</f>
        <v>390607.56400000001</v>
      </c>
    </row>
    <row r="515" spans="1:12" ht="15.75" x14ac:dyDescent="0.25">
      <c r="C515" s="85" t="s">
        <v>185</v>
      </c>
      <c r="D515" s="85"/>
      <c r="E515" s="85"/>
      <c r="F515" s="85"/>
      <c r="G515" s="85"/>
      <c r="H515" s="85"/>
      <c r="I515" s="85"/>
      <c r="J515" s="55"/>
      <c r="K515" s="55"/>
      <c r="L515" s="75">
        <f>L514+L513</f>
        <v>2343645.3839999996</v>
      </c>
    </row>
    <row r="518" spans="1:12" ht="14.25" customHeight="1" x14ac:dyDescent="0.2">
      <c r="A518" s="115" t="s">
        <v>441</v>
      </c>
      <c r="B518" s="115"/>
      <c r="C518" s="69" t="str">
        <f>IF(Source!AC12&lt;&gt;"", Source!AC12," ")</f>
        <v xml:space="preserve"> </v>
      </c>
      <c r="D518" s="32"/>
      <c r="E518" s="32"/>
      <c r="F518" s="32"/>
      <c r="G518" s="32"/>
      <c r="H518" s="15" t="str">
        <f>IF(Source!AB12&lt;&gt;"", Source!AB12," ")</f>
        <v>Мишкина З.И.</v>
      </c>
      <c r="I518" s="22"/>
      <c r="J518" s="22"/>
      <c r="K518" s="36"/>
      <c r="L518" s="36"/>
    </row>
    <row r="519" spans="1:12" ht="14.25" customHeight="1" x14ac:dyDescent="0.2">
      <c r="A519" s="18"/>
      <c r="B519" s="18"/>
      <c r="C519" s="116" t="s">
        <v>442</v>
      </c>
      <c r="D519" s="116"/>
      <c r="E519" s="116"/>
      <c r="F519" s="116"/>
      <c r="G519" s="116"/>
      <c r="H519" s="22"/>
      <c r="I519" s="22"/>
      <c r="J519" s="22"/>
      <c r="K519" s="36"/>
      <c r="L519" s="36"/>
    </row>
    <row r="520" spans="1:12" ht="14.25" customHeight="1" x14ac:dyDescent="0.2">
      <c r="A520" s="18"/>
      <c r="B520" s="18"/>
      <c r="C520" s="18"/>
      <c r="D520" s="18"/>
      <c r="E520" s="18"/>
      <c r="F520" s="18"/>
      <c r="G520" s="18"/>
      <c r="H520" s="22"/>
      <c r="I520" s="22"/>
      <c r="J520" s="22"/>
      <c r="K520" s="36"/>
      <c r="L520" s="36"/>
    </row>
    <row r="521" spans="1:12" ht="14.25" customHeight="1" x14ac:dyDescent="0.2">
      <c r="A521" s="115" t="s">
        <v>443</v>
      </c>
      <c r="B521" s="115"/>
      <c r="C521" s="69" t="str">
        <f>IF(Source!AE12&lt;&gt;"", Source!AE12," ")</f>
        <v xml:space="preserve"> </v>
      </c>
      <c r="D521" s="32"/>
      <c r="E521" s="32"/>
      <c r="F521" s="32"/>
      <c r="G521" s="32"/>
      <c r="H521" s="15" t="str">
        <f>IF(Source!AD12&lt;&gt;"", Source!AD12," ")</f>
        <v>Сукочев А.А.</v>
      </c>
      <c r="I521" s="22"/>
      <c r="J521" s="22"/>
      <c r="K521" s="36"/>
      <c r="L521" s="36"/>
    </row>
    <row r="522" spans="1:12" ht="14.25" customHeight="1" x14ac:dyDescent="0.2">
      <c r="A522" s="18"/>
      <c r="B522" s="18"/>
      <c r="C522" s="116" t="s">
        <v>442</v>
      </c>
      <c r="D522" s="116"/>
      <c r="E522" s="116"/>
      <c r="F522" s="116"/>
      <c r="G522" s="116"/>
      <c r="H522" s="22"/>
      <c r="I522" s="22"/>
      <c r="J522" s="22"/>
      <c r="K522" s="36"/>
      <c r="L522" s="36"/>
    </row>
  </sheetData>
  <mergeCells count="321">
    <mergeCell ref="A521:B521"/>
    <mergeCell ref="C522:G522"/>
    <mergeCell ref="C509:F509"/>
    <mergeCell ref="C511:K511"/>
    <mergeCell ref="A518:B518"/>
    <mergeCell ref="C519:G519"/>
    <mergeCell ref="C503:H503"/>
    <mergeCell ref="C504:H504"/>
    <mergeCell ref="C505:H505"/>
    <mergeCell ref="C506:H506"/>
    <mergeCell ref="C507:H507"/>
    <mergeCell ref="C508:F508"/>
    <mergeCell ref="C497:H497"/>
    <mergeCell ref="C498:H498"/>
    <mergeCell ref="C499:H499"/>
    <mergeCell ref="C500:H500"/>
    <mergeCell ref="C501:H501"/>
    <mergeCell ref="C502:H502"/>
    <mergeCell ref="C491:H491"/>
    <mergeCell ref="C492:H492"/>
    <mergeCell ref="C493:H493"/>
    <mergeCell ref="C494:H494"/>
    <mergeCell ref="C495:H495"/>
    <mergeCell ref="C496:H496"/>
    <mergeCell ref="C485:H485"/>
    <mergeCell ref="C486:H486"/>
    <mergeCell ref="C487:H487"/>
    <mergeCell ref="C488:H488"/>
    <mergeCell ref="C489:H489"/>
    <mergeCell ref="C490:H490"/>
    <mergeCell ref="C478:H478"/>
    <mergeCell ref="C479:H479"/>
    <mergeCell ref="C481:H481"/>
    <mergeCell ref="C482:H482"/>
    <mergeCell ref="C483:H483"/>
    <mergeCell ref="C484:H484"/>
    <mergeCell ref="C472:H472"/>
    <mergeCell ref="C473:H473"/>
    <mergeCell ref="C474:H474"/>
    <mergeCell ref="C475:H475"/>
    <mergeCell ref="C476:H476"/>
    <mergeCell ref="C477:H477"/>
    <mergeCell ref="C466:H466"/>
    <mergeCell ref="C467:H467"/>
    <mergeCell ref="C468:H468"/>
    <mergeCell ref="C469:H469"/>
    <mergeCell ref="C470:H470"/>
    <mergeCell ref="C471:H471"/>
    <mergeCell ref="C460:H460"/>
    <mergeCell ref="C461:H461"/>
    <mergeCell ref="C462:H462"/>
    <mergeCell ref="C463:H463"/>
    <mergeCell ref="C464:H464"/>
    <mergeCell ref="C465:H465"/>
    <mergeCell ref="C453:H453"/>
    <mergeCell ref="C454:H454"/>
    <mergeCell ref="C455:H455"/>
    <mergeCell ref="C457:H457"/>
    <mergeCell ref="C458:H458"/>
    <mergeCell ref="C459:H459"/>
    <mergeCell ref="C446:H446"/>
    <mergeCell ref="C447:H447"/>
    <mergeCell ref="C448:H448"/>
    <mergeCell ref="C449:H449"/>
    <mergeCell ref="C450:H450"/>
    <mergeCell ref="C452:H452"/>
    <mergeCell ref="C440:H440"/>
    <mergeCell ref="C441:H441"/>
    <mergeCell ref="C442:H442"/>
    <mergeCell ref="C443:H443"/>
    <mergeCell ref="C444:H444"/>
    <mergeCell ref="C445:H445"/>
    <mergeCell ref="C434:H434"/>
    <mergeCell ref="C435:H435"/>
    <mergeCell ref="C436:H436"/>
    <mergeCell ref="C437:H437"/>
    <mergeCell ref="C438:H438"/>
    <mergeCell ref="C439:H439"/>
    <mergeCell ref="C427:H427"/>
    <mergeCell ref="C428:H428"/>
    <mergeCell ref="C429:H429"/>
    <mergeCell ref="C430:H430"/>
    <mergeCell ref="C432:H432"/>
    <mergeCell ref="C433:H433"/>
    <mergeCell ref="C421:H421"/>
    <mergeCell ref="C422:H422"/>
    <mergeCell ref="C423:H423"/>
    <mergeCell ref="C424:H424"/>
    <mergeCell ref="C425:H425"/>
    <mergeCell ref="C426:H426"/>
    <mergeCell ref="C415:H415"/>
    <mergeCell ref="C416:H416"/>
    <mergeCell ref="C417:H417"/>
    <mergeCell ref="C418:H418"/>
    <mergeCell ref="C419:H419"/>
    <mergeCell ref="C420:H420"/>
    <mergeCell ref="C406:F406"/>
    <mergeCell ref="C407:F407"/>
    <mergeCell ref="C410:H410"/>
    <mergeCell ref="C412:H412"/>
    <mergeCell ref="C413:H413"/>
    <mergeCell ref="C414:H414"/>
    <mergeCell ref="C400:H400"/>
    <mergeCell ref="C401:H401"/>
    <mergeCell ref="C402:H402"/>
    <mergeCell ref="C403:H403"/>
    <mergeCell ref="C404:H404"/>
    <mergeCell ref="C405:H405"/>
    <mergeCell ref="C394:H394"/>
    <mergeCell ref="C395:H395"/>
    <mergeCell ref="C396:H396"/>
    <mergeCell ref="C397:H397"/>
    <mergeCell ref="C398:H398"/>
    <mergeCell ref="C399:H399"/>
    <mergeCell ref="C388:H388"/>
    <mergeCell ref="C389:H389"/>
    <mergeCell ref="C390:H390"/>
    <mergeCell ref="C391:H391"/>
    <mergeCell ref="C392:H392"/>
    <mergeCell ref="C393:H393"/>
    <mergeCell ref="C382:H382"/>
    <mergeCell ref="C383:H383"/>
    <mergeCell ref="C384:H384"/>
    <mergeCell ref="C385:H385"/>
    <mergeCell ref="C386:H386"/>
    <mergeCell ref="C387:H387"/>
    <mergeCell ref="C377:H377"/>
    <mergeCell ref="I377:J377"/>
    <mergeCell ref="K377:L377"/>
    <mergeCell ref="C379:H379"/>
    <mergeCell ref="C380:H380"/>
    <mergeCell ref="C381:H381"/>
    <mergeCell ref="C358:H358"/>
    <mergeCell ref="I358:J358"/>
    <mergeCell ref="K358:L358"/>
    <mergeCell ref="C368:H368"/>
    <mergeCell ref="I368:J368"/>
    <mergeCell ref="K368:L368"/>
    <mergeCell ref="C340:H340"/>
    <mergeCell ref="I340:J340"/>
    <mergeCell ref="K340:L340"/>
    <mergeCell ref="C349:H349"/>
    <mergeCell ref="I349:J349"/>
    <mergeCell ref="K349:L349"/>
    <mergeCell ref="C322:H322"/>
    <mergeCell ref="I322:J322"/>
    <mergeCell ref="K322:L322"/>
    <mergeCell ref="C331:H331"/>
    <mergeCell ref="I331:J331"/>
    <mergeCell ref="K331:L331"/>
    <mergeCell ref="C306:H306"/>
    <mergeCell ref="I306:J306"/>
    <mergeCell ref="K306:L306"/>
    <mergeCell ref="C314:H314"/>
    <mergeCell ref="I314:J314"/>
    <mergeCell ref="K314:L314"/>
    <mergeCell ref="C290:H290"/>
    <mergeCell ref="I290:J290"/>
    <mergeCell ref="K290:L290"/>
    <mergeCell ref="C298:H298"/>
    <mergeCell ref="I298:J298"/>
    <mergeCell ref="K298:L298"/>
    <mergeCell ref="C272:H272"/>
    <mergeCell ref="I272:J272"/>
    <mergeCell ref="K272:L272"/>
    <mergeCell ref="C281:H281"/>
    <mergeCell ref="I281:J281"/>
    <mergeCell ref="K281:L281"/>
    <mergeCell ref="C252:H252"/>
    <mergeCell ref="I252:J252"/>
    <mergeCell ref="K252:L252"/>
    <mergeCell ref="C262:H262"/>
    <mergeCell ref="I262:J262"/>
    <mergeCell ref="K262:L262"/>
    <mergeCell ref="C236:H236"/>
    <mergeCell ref="C237:H237"/>
    <mergeCell ref="C238:H238"/>
    <mergeCell ref="C239:F239"/>
    <mergeCell ref="C240:F240"/>
    <mergeCell ref="A243:L243"/>
    <mergeCell ref="C230:H230"/>
    <mergeCell ref="C231:H231"/>
    <mergeCell ref="C232:H232"/>
    <mergeCell ref="C233:H233"/>
    <mergeCell ref="C234:H234"/>
    <mergeCell ref="C235:H235"/>
    <mergeCell ref="C224:H224"/>
    <mergeCell ref="C225:H225"/>
    <mergeCell ref="C226:H226"/>
    <mergeCell ref="C227:H227"/>
    <mergeCell ref="C228:H228"/>
    <mergeCell ref="C229:H229"/>
    <mergeCell ref="C218:H218"/>
    <mergeCell ref="C219:H219"/>
    <mergeCell ref="C220:H220"/>
    <mergeCell ref="C221:H221"/>
    <mergeCell ref="C222:H222"/>
    <mergeCell ref="C223:H223"/>
    <mergeCell ref="C212:H212"/>
    <mergeCell ref="C213:H213"/>
    <mergeCell ref="C214:H214"/>
    <mergeCell ref="C215:H215"/>
    <mergeCell ref="C216:H216"/>
    <mergeCell ref="C217:H217"/>
    <mergeCell ref="C208:H208"/>
    <mergeCell ref="I208:J208"/>
    <mergeCell ref="K208:L208"/>
    <mergeCell ref="C210:H210"/>
    <mergeCell ref="I210:J210"/>
    <mergeCell ref="K210:L210"/>
    <mergeCell ref="C199:H199"/>
    <mergeCell ref="C200:H200"/>
    <mergeCell ref="C201:H201"/>
    <mergeCell ref="C202:F202"/>
    <mergeCell ref="C203:F203"/>
    <mergeCell ref="A206:L206"/>
    <mergeCell ref="C193:H193"/>
    <mergeCell ref="C194:H194"/>
    <mergeCell ref="C195:H195"/>
    <mergeCell ref="C196:H196"/>
    <mergeCell ref="C197:H197"/>
    <mergeCell ref="C198:H198"/>
    <mergeCell ref="C187:H187"/>
    <mergeCell ref="C188:H188"/>
    <mergeCell ref="C189:H189"/>
    <mergeCell ref="C190:H190"/>
    <mergeCell ref="C191:H191"/>
    <mergeCell ref="C192:H192"/>
    <mergeCell ref="C181:H181"/>
    <mergeCell ref="C182:H182"/>
    <mergeCell ref="C183:H183"/>
    <mergeCell ref="C184:H184"/>
    <mergeCell ref="C185:H185"/>
    <mergeCell ref="C186:H186"/>
    <mergeCell ref="C175:H175"/>
    <mergeCell ref="C176:H176"/>
    <mergeCell ref="C177:H177"/>
    <mergeCell ref="C178:H178"/>
    <mergeCell ref="C179:H179"/>
    <mergeCell ref="C180:H180"/>
    <mergeCell ref="C149:H149"/>
    <mergeCell ref="I149:J149"/>
    <mergeCell ref="K149:L149"/>
    <mergeCell ref="C173:H173"/>
    <mergeCell ref="I173:J173"/>
    <mergeCell ref="K173:L173"/>
    <mergeCell ref="C124:H124"/>
    <mergeCell ref="C125:H125"/>
    <mergeCell ref="C126:H126"/>
    <mergeCell ref="C127:F127"/>
    <mergeCell ref="C128:F128"/>
    <mergeCell ref="A131:L131"/>
    <mergeCell ref="C118:H118"/>
    <mergeCell ref="C119:H119"/>
    <mergeCell ref="C120:H120"/>
    <mergeCell ref="C121:H121"/>
    <mergeCell ref="C122:H122"/>
    <mergeCell ref="C123:H123"/>
    <mergeCell ref="C112:H112"/>
    <mergeCell ref="C113:H113"/>
    <mergeCell ref="C114:H114"/>
    <mergeCell ref="C115:H115"/>
    <mergeCell ref="C116:H116"/>
    <mergeCell ref="C117:H117"/>
    <mergeCell ref="C106:H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C104:H104"/>
    <mergeCell ref="C105:H105"/>
    <mergeCell ref="C73:H73"/>
    <mergeCell ref="I73:J73"/>
    <mergeCell ref="K73:L73"/>
    <mergeCell ref="C98:H98"/>
    <mergeCell ref="I98:J98"/>
    <mergeCell ref="K98:L98"/>
    <mergeCell ref="A47:A51"/>
    <mergeCell ref="B47:B51"/>
    <mergeCell ref="C47:C51"/>
    <mergeCell ref="D47:D51"/>
    <mergeCell ref="E47:G50"/>
    <mergeCell ref="H47:L50"/>
    <mergeCell ref="C39:D39"/>
    <mergeCell ref="C42:D42"/>
    <mergeCell ref="C43:D43"/>
    <mergeCell ref="C44:D44"/>
    <mergeCell ref="C45:D45"/>
    <mergeCell ref="A28:L28"/>
    <mergeCell ref="A29:L29"/>
    <mergeCell ref="C34:L34"/>
    <mergeCell ref="A54:L54"/>
    <mergeCell ref="A2:E2"/>
    <mergeCell ref="F2:L2"/>
    <mergeCell ref="A4:E4"/>
    <mergeCell ref="F4:L4"/>
    <mergeCell ref="A6:E6"/>
    <mergeCell ref="F6:L6"/>
    <mergeCell ref="C512:F512"/>
    <mergeCell ref="C515:I515"/>
    <mergeCell ref="B18:C18"/>
    <mergeCell ref="B20:F20"/>
    <mergeCell ref="B22:E22"/>
    <mergeCell ref="B24:C24"/>
    <mergeCell ref="A26:L26"/>
    <mergeCell ref="A14:E14"/>
    <mergeCell ref="F14:L14"/>
    <mergeCell ref="A16:E16"/>
    <mergeCell ref="F16:L16"/>
    <mergeCell ref="A8:E8"/>
    <mergeCell ref="F8:L8"/>
    <mergeCell ref="A10:E10"/>
    <mergeCell ref="F10:L10"/>
    <mergeCell ref="A12:E12"/>
    <mergeCell ref="F12:L12"/>
    <mergeCell ref="C35:L35"/>
  </mergeCells>
  <pageMargins left="0.39370078740157483" right="0.19685039370078741" top="0.39370078740157483" bottom="0.39370078740157483" header="0.19685039370078741" footer="0.19685039370078741"/>
  <pageSetup paperSize="9" scale="4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DE9AA-F473-4CF6-8541-1BF7938E952C}">
  <dimension ref="A1:IK282"/>
  <sheetViews>
    <sheetView workbookViewId="0">
      <selection activeCell="A278" sqref="A278:AX278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276</v>
      </c>
      <c r="C12" s="1">
        <v>0</v>
      </c>
      <c r="D12" s="1">
        <f>ROW(A218)</f>
        <v>218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320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B218</f>
        <v>276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ТП</v>
      </c>
      <c r="H18" s="2"/>
      <c r="I18" s="2"/>
      <c r="J18" s="2"/>
      <c r="K18" s="2"/>
      <c r="L18" s="2"/>
      <c r="M18" s="2"/>
      <c r="N18" s="2"/>
      <c r="O18" s="2">
        <f t="shared" ref="O18:AT18" si="1">O218</f>
        <v>1762016.17</v>
      </c>
      <c r="P18" s="2">
        <f t="shared" si="1"/>
        <v>1608025.06</v>
      </c>
      <c r="Q18" s="2">
        <f t="shared" si="1"/>
        <v>5321.48</v>
      </c>
      <c r="R18" s="2">
        <f t="shared" si="1"/>
        <v>2825.68</v>
      </c>
      <c r="S18" s="2">
        <f t="shared" si="1"/>
        <v>145843.95000000001</v>
      </c>
      <c r="T18" s="2">
        <f t="shared" si="1"/>
        <v>0</v>
      </c>
      <c r="U18" s="2">
        <f t="shared" si="1"/>
        <v>277.49039999999997</v>
      </c>
      <c r="V18" s="2">
        <f t="shared" si="1"/>
        <v>5.5949919999999995</v>
      </c>
      <c r="W18" s="2">
        <f t="shared" si="1"/>
        <v>0</v>
      </c>
      <c r="X18" s="2">
        <f t="shared" si="1"/>
        <v>116889.53</v>
      </c>
      <c r="Y18" s="2">
        <f t="shared" si="1"/>
        <v>58004.12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1936909.82</v>
      </c>
      <c r="AS18" s="2">
        <f t="shared" si="1"/>
        <v>1606416.66</v>
      </c>
      <c r="AT18" s="2">
        <f t="shared" si="1"/>
        <v>81049.490000000005</v>
      </c>
      <c r="AU18" s="2">
        <f t="shared" ref="AU18:BZ18" si="2">AU218</f>
        <v>249443.67</v>
      </c>
      <c r="AV18" s="2">
        <f t="shared" si="2"/>
        <v>1608025.06</v>
      </c>
      <c r="AW18" s="2">
        <f t="shared" si="2"/>
        <v>1608025.06</v>
      </c>
      <c r="AX18" s="2">
        <f t="shared" si="2"/>
        <v>0</v>
      </c>
      <c r="AY18" s="2">
        <f t="shared" si="2"/>
        <v>1608025.06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CA218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DG218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EM218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FS218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ROW(A185)</f>
        <v>185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B185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ТП-1372 по адресу: г.Москва, поселение Щаповское, п.Курилово, (инв. № 43314343)</v>
      </c>
      <c r="H22" s="2"/>
      <c r="I22" s="2"/>
      <c r="J22" s="2"/>
      <c r="K22" s="2"/>
      <c r="L22" s="2"/>
      <c r="M22" s="2"/>
      <c r="N22" s="2"/>
      <c r="O22" s="2">
        <f t="shared" ref="O22:AT22" si="8">O185</f>
        <v>1762016.17</v>
      </c>
      <c r="P22" s="2">
        <f t="shared" si="8"/>
        <v>1608025.06</v>
      </c>
      <c r="Q22" s="2">
        <f t="shared" si="8"/>
        <v>5321.48</v>
      </c>
      <c r="R22" s="2">
        <f t="shared" si="8"/>
        <v>2825.68</v>
      </c>
      <c r="S22" s="2">
        <f t="shared" si="8"/>
        <v>145843.95000000001</v>
      </c>
      <c r="T22" s="2">
        <f t="shared" si="8"/>
        <v>0</v>
      </c>
      <c r="U22" s="2">
        <f t="shared" si="8"/>
        <v>277.49039999999997</v>
      </c>
      <c r="V22" s="2">
        <f t="shared" si="8"/>
        <v>5.5949919999999995</v>
      </c>
      <c r="W22" s="2">
        <f t="shared" si="8"/>
        <v>0</v>
      </c>
      <c r="X22" s="2">
        <f t="shared" si="8"/>
        <v>116889.53</v>
      </c>
      <c r="Y22" s="2">
        <f t="shared" si="8"/>
        <v>58004.12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1936909.82</v>
      </c>
      <c r="AS22" s="2">
        <f t="shared" si="8"/>
        <v>1606416.66</v>
      </c>
      <c r="AT22" s="2">
        <f t="shared" si="8"/>
        <v>81049.490000000005</v>
      </c>
      <c r="AU22" s="2">
        <f t="shared" ref="AU22:BZ22" si="9">AU185</f>
        <v>249443.67</v>
      </c>
      <c r="AV22" s="2">
        <f t="shared" si="9"/>
        <v>1608025.06</v>
      </c>
      <c r="AW22" s="2">
        <f t="shared" si="9"/>
        <v>1608025.06</v>
      </c>
      <c r="AX22" s="2">
        <f t="shared" si="9"/>
        <v>0</v>
      </c>
      <c r="AY22" s="2">
        <f t="shared" si="9"/>
        <v>1608025.06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CA185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DG185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EM185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FS185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ROW(A31)</f>
        <v>31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O31</f>
        <v>8125.01</v>
      </c>
      <c r="P26" s="2">
        <f t="shared" si="15"/>
        <v>0</v>
      </c>
      <c r="Q26" s="2">
        <f t="shared" si="15"/>
        <v>1228.03</v>
      </c>
      <c r="R26" s="2">
        <f t="shared" si="15"/>
        <v>652.07000000000005</v>
      </c>
      <c r="S26" s="2">
        <f t="shared" si="15"/>
        <v>6244.91</v>
      </c>
      <c r="T26" s="2">
        <f t="shared" si="15"/>
        <v>0</v>
      </c>
      <c r="U26" s="2">
        <f t="shared" si="15"/>
        <v>14.347199999999999</v>
      </c>
      <c r="V26" s="2">
        <f t="shared" si="15"/>
        <v>1.2911519999999999</v>
      </c>
      <c r="W26" s="2">
        <f t="shared" si="15"/>
        <v>0</v>
      </c>
      <c r="X26" s="2">
        <f t="shared" si="15"/>
        <v>6690.07</v>
      </c>
      <c r="Y26" s="2">
        <f t="shared" si="15"/>
        <v>3517.46</v>
      </c>
      <c r="Z26" s="2">
        <f t="shared" si="15"/>
        <v>0</v>
      </c>
      <c r="AA26" s="2">
        <f t="shared" si="15"/>
        <v>0</v>
      </c>
      <c r="AB26" s="2">
        <f t="shared" si="15"/>
        <v>8125.01</v>
      </c>
      <c r="AC26" s="2">
        <f t="shared" si="15"/>
        <v>0</v>
      </c>
      <c r="AD26" s="2">
        <f t="shared" si="15"/>
        <v>1228.03</v>
      </c>
      <c r="AE26" s="2">
        <f t="shared" si="15"/>
        <v>652.07000000000005</v>
      </c>
      <c r="AF26" s="2">
        <f t="shared" si="15"/>
        <v>6244.91</v>
      </c>
      <c r="AG26" s="2">
        <f t="shared" si="15"/>
        <v>0</v>
      </c>
      <c r="AH26" s="2">
        <f t="shared" si="15"/>
        <v>14.347199999999999</v>
      </c>
      <c r="AI26" s="2">
        <f t="shared" si="15"/>
        <v>1.2911519999999999</v>
      </c>
      <c r="AJ26" s="2">
        <f t="shared" si="15"/>
        <v>0</v>
      </c>
      <c r="AK26" s="2">
        <f t="shared" si="15"/>
        <v>6690.07</v>
      </c>
      <c r="AL26" s="2">
        <f t="shared" si="15"/>
        <v>3517.46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18332.54</v>
      </c>
      <c r="AS26" s="2">
        <f t="shared" si="15"/>
        <v>0</v>
      </c>
      <c r="AT26" s="2">
        <f t="shared" si="15"/>
        <v>18332.54</v>
      </c>
      <c r="AU26" s="2">
        <f t="shared" ref="AU26:BZ26" si="16">AU31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CA31</f>
        <v>18332.54</v>
      </c>
      <c r="CB26" s="2">
        <f t="shared" si="17"/>
        <v>0</v>
      </c>
      <c r="CC26" s="2">
        <f t="shared" si="17"/>
        <v>18332.54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ROW(SmtRes!A8)</f>
        <v>8</v>
      </c>
      <c r="D28">
        <f>ROW(EtalonRes!A8)</f>
        <v>8</v>
      </c>
      <c r="E28" t="s">
        <v>20</v>
      </c>
      <c r="F28" t="s">
        <v>21</v>
      </c>
      <c r="G28" t="s">
        <v>22</v>
      </c>
      <c r="H28" t="s">
        <v>23</v>
      </c>
      <c r="I28">
        <v>2</v>
      </c>
      <c r="J28">
        <v>0</v>
      </c>
      <c r="K28">
        <v>2</v>
      </c>
      <c r="O28">
        <f>ROUND(CP28,2)</f>
        <v>7757.47</v>
      </c>
      <c r="P28">
        <f>SUMIF(SmtRes!AQ1:'SmtRes'!AQ8,"=1",SmtRes!DF1:'SmtRes'!DF8)</f>
        <v>0</v>
      </c>
      <c r="Q28">
        <f>SUMIF(SmtRes!AQ1:'SmtRes'!AQ8,"=1",SmtRes!DG1:'SmtRes'!DG8)</f>
        <v>1217.1199999999999</v>
      </c>
      <c r="R28">
        <f>SUMIF(SmtRes!AQ1:'SmtRes'!AQ8,"=1",SmtRes!DH1:'SmtRes'!DH8)</f>
        <v>611.97</v>
      </c>
      <c r="S28">
        <f>SUMIF(SmtRes!AQ1:'SmtRes'!AQ8,"=1",SmtRes!DI1:'SmtRes'!DI8)</f>
        <v>5928.38</v>
      </c>
      <c r="T28">
        <f>ROUND(CU28*I28,2)</f>
        <v>0</v>
      </c>
      <c r="U28">
        <f>SUMIF(SmtRes!AQ1:'SmtRes'!AQ8,"=1",SmtRes!CV1:'SmtRes'!CV8)</f>
        <v>13.62</v>
      </c>
      <c r="V28">
        <f>SUMIF(SmtRes!AQ1:'SmtRes'!AQ8,"=1",SmtRes!CW1:'SmtRes'!CW8)</f>
        <v>1.2</v>
      </c>
      <c r="W28">
        <f>ROUND(CX28*I28,2)</f>
        <v>0</v>
      </c>
      <c r="X28">
        <f>ROUND(CY28,2)</f>
        <v>6344.14</v>
      </c>
      <c r="Y28">
        <f>ROUND(CZ28,2)</f>
        <v>3335.58</v>
      </c>
      <c r="AA28">
        <v>61625010</v>
      </c>
      <c r="AB28">
        <f>ROUND((AC28+AD28+AF28),6)</f>
        <v>3545.5106999999998</v>
      </c>
      <c r="AC28">
        <f>ROUND((0),6)</f>
        <v>0</v>
      </c>
      <c r="AD28">
        <f>ROUND((((SUM(SmtRes!BR1:'SmtRes'!BR8))-(SUM(SmtRes!BS1:'SmtRes'!BS8)))+AE28),6)</f>
        <v>581.322</v>
      </c>
      <c r="AE28">
        <f>ROUND((SUM(SmtRes!BS1:'SmtRes'!BS8)),6)</f>
        <v>305.988</v>
      </c>
      <c r="AF28">
        <f>ROUND((SUM(SmtRes!BT1:'SmtRes'!BT8)),6)</f>
        <v>2964.1887000000002</v>
      </c>
      <c r="AG28">
        <f>ROUND((AP28),6)</f>
        <v>0</v>
      </c>
      <c r="AH28">
        <f>(SUM(SmtRes!BU1:'SmtRes'!BU8))</f>
        <v>6.81</v>
      </c>
      <c r="AI28">
        <f>(SUM(SmtRes!BV1:'SmtRes'!BV8))</f>
        <v>0.6</v>
      </c>
      <c r="AJ28">
        <f>(AS28)</f>
        <v>0</v>
      </c>
      <c r="AK28">
        <v>13006.074049999999</v>
      </c>
      <c r="AL28">
        <v>167.74504999999999</v>
      </c>
      <c r="AM28">
        <v>1937.74</v>
      </c>
      <c r="AN28">
        <v>1019.96</v>
      </c>
      <c r="AO28">
        <v>9880.628999999999</v>
      </c>
      <c r="AP28">
        <v>0</v>
      </c>
      <c r="AQ28">
        <v>22.7</v>
      </c>
      <c r="AR28">
        <v>2</v>
      </c>
      <c r="AS28">
        <v>0</v>
      </c>
      <c r="AT28">
        <v>97</v>
      </c>
      <c r="AU28">
        <v>51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2</v>
      </c>
      <c r="BJ28" t="s">
        <v>24</v>
      </c>
      <c r="BM28">
        <v>108001</v>
      </c>
      <c r="BN28">
        <v>0</v>
      </c>
      <c r="BO28" t="s">
        <v>3</v>
      </c>
      <c r="BP28">
        <v>0</v>
      </c>
      <c r="BQ28">
        <v>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97</v>
      </c>
      <c r="CA28">
        <v>51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25</v>
      </c>
      <c r="CO28">
        <v>0</v>
      </c>
      <c r="CP28">
        <f>(P28+Q28+S28+R28)</f>
        <v>7757.47</v>
      </c>
      <c r="CQ28">
        <f>SUMIF(SmtRes!AQ1:'SmtRes'!AQ8,"=1",SmtRes!AA1:'SmtRes'!AA8)</f>
        <v>62875.11</v>
      </c>
      <c r="CR28">
        <f>SUMIF(SmtRes!AQ1:'SmtRes'!AQ8,"=1",SmtRes!AB1:'SmtRes'!AB8)</f>
        <v>2028.54</v>
      </c>
      <c r="CS28">
        <f>SUMIF(SmtRes!AQ1:'SmtRes'!AQ8,"=1",SmtRes!AC1:'SmtRes'!AC8)</f>
        <v>1019.96</v>
      </c>
      <c r="CT28">
        <f>SUMIF(SmtRes!AQ1:'SmtRes'!AQ8,"=1",SmtRes!AD1:'SmtRes'!AD8)</f>
        <v>435.27</v>
      </c>
      <c r="CU28">
        <f>AG28</f>
        <v>0</v>
      </c>
      <c r="CV28">
        <f>SUMIF(SmtRes!AQ1:'SmtRes'!AQ8,"=1",SmtRes!BU1:'SmtRes'!BU8)</f>
        <v>6.81</v>
      </c>
      <c r="CW28">
        <f>SUMIF(SmtRes!AQ1:'SmtRes'!AQ8,"=1",SmtRes!BV1:'SmtRes'!BV8)</f>
        <v>0.6</v>
      </c>
      <c r="CX28">
        <f>AJ28</f>
        <v>0</v>
      </c>
      <c r="CY28">
        <f>(((S28+R28)*AT28)/100)</f>
        <v>6344.1395000000011</v>
      </c>
      <c r="CZ28">
        <f>(((S28+R28)*AU28)/100)</f>
        <v>3335.5785000000005</v>
      </c>
      <c r="DC28" t="s">
        <v>3</v>
      </c>
      <c r="DD28" t="s">
        <v>26</v>
      </c>
      <c r="DE28" t="s">
        <v>27</v>
      </c>
      <c r="DF28" t="s">
        <v>27</v>
      </c>
      <c r="DG28" t="s">
        <v>27</v>
      </c>
      <c r="DH28" t="s">
        <v>3</v>
      </c>
      <c r="DI28" t="s">
        <v>27</v>
      </c>
      <c r="DJ28" t="s">
        <v>27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60393196</v>
      </c>
      <c r="EF28">
        <v>3</v>
      </c>
      <c r="EG28" t="s">
        <v>28</v>
      </c>
      <c r="EH28">
        <v>0</v>
      </c>
      <c r="EI28" t="s">
        <v>3</v>
      </c>
      <c r="EJ28">
        <v>2</v>
      </c>
      <c r="EK28">
        <v>108001</v>
      </c>
      <c r="EL28" t="s">
        <v>29</v>
      </c>
      <c r="EM28" t="s">
        <v>30</v>
      </c>
      <c r="EO28" t="s">
        <v>31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22.7</v>
      </c>
      <c r="EX28">
        <v>2</v>
      </c>
      <c r="EY28">
        <v>0</v>
      </c>
      <c r="FQ28">
        <v>0</v>
      </c>
      <c r="FR28">
        <f>ROUND(IF(BI28=3,GM28,0),2)</f>
        <v>0</v>
      </c>
      <c r="FS28">
        <v>0</v>
      </c>
      <c r="FX28">
        <v>97</v>
      </c>
      <c r="FY28">
        <v>51</v>
      </c>
      <c r="GA28" t="s">
        <v>3</v>
      </c>
      <c r="GD28">
        <v>1</v>
      </c>
      <c r="GF28">
        <v>1747930076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17437.189999999999</v>
      </c>
      <c r="GN28">
        <f>IF(OR(BI28=0,BI28=1),GM28-GX28,0)</f>
        <v>0</v>
      </c>
      <c r="GO28">
        <f>IF(BI28=2,GM28-GX28,0)</f>
        <v>17437.189999999999</v>
      </c>
      <c r="GP28">
        <f>IF(BI28=4,GM28-GX28,0)</f>
        <v>0</v>
      </c>
      <c r="GR28">
        <v>0</v>
      </c>
      <c r="GS28">
        <v>3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32</v>
      </c>
      <c r="HO28" t="s">
        <v>33</v>
      </c>
      <c r="HP28" t="s">
        <v>29</v>
      </c>
      <c r="HQ28" t="s">
        <v>29</v>
      </c>
      <c r="IK28">
        <v>0</v>
      </c>
    </row>
    <row r="29" spans="1:245" x14ac:dyDescent="0.2">
      <c r="A29">
        <v>17</v>
      </c>
      <c r="B29">
        <v>1</v>
      </c>
      <c r="C29">
        <f>ROW(SmtRes!A20)</f>
        <v>20</v>
      </c>
      <c r="D29">
        <f>ROW(EtalonRes!A20)</f>
        <v>20</v>
      </c>
      <c r="E29" t="s">
        <v>34</v>
      </c>
      <c r="F29" t="s">
        <v>35</v>
      </c>
      <c r="G29" t="s">
        <v>36</v>
      </c>
      <c r="H29" t="s">
        <v>37</v>
      </c>
      <c r="I29">
        <f>ROUND(4.8/100,7)</f>
        <v>4.8000000000000001E-2</v>
      </c>
      <c r="J29">
        <v>0</v>
      </c>
      <c r="K29">
        <f>ROUND(4.8/100,7)</f>
        <v>4.8000000000000001E-2</v>
      </c>
      <c r="O29">
        <f>ROUND(CP29,2)</f>
        <v>367.54</v>
      </c>
      <c r="P29">
        <f>SUMIF(SmtRes!AQ9:'SmtRes'!AQ20,"=1",SmtRes!DF9:'SmtRes'!DF20)</f>
        <v>0</v>
      </c>
      <c r="Q29">
        <f>SUMIF(SmtRes!AQ9:'SmtRes'!AQ20,"=1",SmtRes!DG9:'SmtRes'!DG20)</f>
        <v>10.91</v>
      </c>
      <c r="R29">
        <f>SUMIF(SmtRes!AQ9:'SmtRes'!AQ20,"=1",SmtRes!DH9:'SmtRes'!DH20)</f>
        <v>40.1</v>
      </c>
      <c r="S29">
        <f>SUMIF(SmtRes!AQ9:'SmtRes'!AQ20,"=1",SmtRes!DI9:'SmtRes'!DI20)</f>
        <v>316.52999999999997</v>
      </c>
      <c r="T29">
        <f>ROUND(CU29*I29,2)</f>
        <v>0</v>
      </c>
      <c r="U29">
        <f>SUMIF(SmtRes!AQ9:'SmtRes'!AQ20,"=1",SmtRes!CV9:'SmtRes'!CV20)</f>
        <v>0.72719999999999996</v>
      </c>
      <c r="V29">
        <f>SUMIF(SmtRes!AQ9:'SmtRes'!AQ20,"=1",SmtRes!CW9:'SmtRes'!CW20)</f>
        <v>9.1151999999999997E-2</v>
      </c>
      <c r="W29">
        <f>ROUND(CX29*I29,2)</f>
        <v>0</v>
      </c>
      <c r="X29">
        <f>ROUND(CY29,2)</f>
        <v>345.93</v>
      </c>
      <c r="Y29">
        <f>ROUND(CZ29,2)</f>
        <v>181.88</v>
      </c>
      <c r="AA29">
        <v>61625010</v>
      </c>
      <c r="AB29">
        <f>ROUND((AC29+AD29+AF29),6)</f>
        <v>6806.6984400000001</v>
      </c>
      <c r="AC29">
        <f>ROUND((0),6)</f>
        <v>0</v>
      </c>
      <c r="AD29">
        <f>ROUND((((SUM(SmtRes!BR9:'SmtRes'!BR20))-(SUM(SmtRes!BS9:'SmtRes'!BS20)))+AE29),6)</f>
        <v>212.35794000000001</v>
      </c>
      <c r="AE29">
        <f>ROUND((SUM(SmtRes!BS9:'SmtRes'!BS20)),6)</f>
        <v>835.54292999999996</v>
      </c>
      <c r="AF29">
        <f>ROUND((SUM(SmtRes!BT9:'SmtRes'!BT20)),6)</f>
        <v>6594.3405000000002</v>
      </c>
      <c r="AG29">
        <f>ROUND((AP29),6)</f>
        <v>0</v>
      </c>
      <c r="AH29">
        <f>(SUM(SmtRes!BU9:'SmtRes'!BU20))</f>
        <v>15.149999999999999</v>
      </c>
      <c r="AI29">
        <f>(SUM(SmtRes!BV9:'SmtRes'!BV20))</f>
        <v>1.899</v>
      </c>
      <c r="AJ29">
        <f>(AS29)</f>
        <v>0</v>
      </c>
      <c r="AK29">
        <v>25961.556902600001</v>
      </c>
      <c r="AL29">
        <v>487.4190026</v>
      </c>
      <c r="AM29">
        <v>707.85979999999995</v>
      </c>
      <c r="AN29">
        <v>2785.1430999999998</v>
      </c>
      <c r="AO29">
        <v>21981.134999999998</v>
      </c>
      <c r="AP29">
        <v>0</v>
      </c>
      <c r="AQ29">
        <v>50.5</v>
      </c>
      <c r="AR29">
        <v>6.33</v>
      </c>
      <c r="AS29">
        <v>0</v>
      </c>
      <c r="AT29">
        <v>97</v>
      </c>
      <c r="AU29">
        <v>51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38</v>
      </c>
      <c r="BM29">
        <v>108001</v>
      </c>
      <c r="BN29">
        <v>0</v>
      </c>
      <c r="BO29" t="s">
        <v>3</v>
      </c>
      <c r="BP29">
        <v>0</v>
      </c>
      <c r="BQ29">
        <v>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97</v>
      </c>
      <c r="CA29">
        <v>51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25</v>
      </c>
      <c r="CO29">
        <v>0</v>
      </c>
      <c r="CP29">
        <f>(P29+Q29+S29+R29)</f>
        <v>367.54</v>
      </c>
      <c r="CQ29">
        <f>SUMIF(SmtRes!AQ9:'SmtRes'!AQ20,"=1",SmtRes!AA9:'SmtRes'!AA20)</f>
        <v>1291193.7699999998</v>
      </c>
      <c r="CR29">
        <f>SUMIF(SmtRes!AQ9:'SmtRes'!AQ20,"=1",SmtRes!AB9:'SmtRes'!AB20)</f>
        <v>2086.5100000000002</v>
      </c>
      <c r="CS29">
        <f>SUMIF(SmtRes!AQ9:'SmtRes'!AQ20,"=1",SmtRes!AC9:'SmtRes'!AC20)</f>
        <v>1455.23</v>
      </c>
      <c r="CT29">
        <f>SUMIF(SmtRes!AQ9:'SmtRes'!AQ20,"=1",SmtRes!AD9:'SmtRes'!AD20)</f>
        <v>435.27</v>
      </c>
      <c r="CU29">
        <f>AG29</f>
        <v>0</v>
      </c>
      <c r="CV29">
        <f>SUMIF(SmtRes!AQ9:'SmtRes'!AQ20,"=1",SmtRes!BU9:'SmtRes'!BU20)</f>
        <v>15.149999999999999</v>
      </c>
      <c r="CW29">
        <f>SUMIF(SmtRes!AQ9:'SmtRes'!AQ20,"=1",SmtRes!BV9:'SmtRes'!BV20)</f>
        <v>1.899</v>
      </c>
      <c r="CX29">
        <f>AJ29</f>
        <v>0</v>
      </c>
      <c r="CY29">
        <f>(((S29+R29)*AT29)/100)</f>
        <v>345.93110000000001</v>
      </c>
      <c r="CZ29">
        <f>(((S29+R29)*AU29)/100)</f>
        <v>181.88130000000001</v>
      </c>
      <c r="DC29" t="s">
        <v>3</v>
      </c>
      <c r="DD29" t="s">
        <v>26</v>
      </c>
      <c r="DE29" t="s">
        <v>27</v>
      </c>
      <c r="DF29" t="s">
        <v>27</v>
      </c>
      <c r="DG29" t="s">
        <v>27</v>
      </c>
      <c r="DH29" t="s">
        <v>3</v>
      </c>
      <c r="DI29" t="s">
        <v>27</v>
      </c>
      <c r="DJ29" t="s">
        <v>27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37</v>
      </c>
      <c r="DW29" t="s">
        <v>37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60393196</v>
      </c>
      <c r="EF29">
        <v>3</v>
      </c>
      <c r="EG29" t="s">
        <v>28</v>
      </c>
      <c r="EH29">
        <v>0</v>
      </c>
      <c r="EI29" t="s">
        <v>3</v>
      </c>
      <c r="EJ29">
        <v>2</v>
      </c>
      <c r="EK29">
        <v>108001</v>
      </c>
      <c r="EL29" t="s">
        <v>29</v>
      </c>
      <c r="EM29" t="s">
        <v>30</v>
      </c>
      <c r="EO29" t="s">
        <v>31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50.5</v>
      </c>
      <c r="EX29">
        <v>6.33</v>
      </c>
      <c r="EY29">
        <v>0</v>
      </c>
      <c r="FQ29">
        <v>0</v>
      </c>
      <c r="FR29">
        <f>ROUND(IF(BI29=3,GM29,0),2)</f>
        <v>0</v>
      </c>
      <c r="FS29">
        <v>0</v>
      </c>
      <c r="FX29">
        <v>97</v>
      </c>
      <c r="FY29">
        <v>51</v>
      </c>
      <c r="GA29" t="s">
        <v>3</v>
      </c>
      <c r="GD29">
        <v>1</v>
      </c>
      <c r="GF29">
        <v>-1894517227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895.35</v>
      </c>
      <c r="GN29">
        <f>IF(OR(BI29=0,BI29=1),GM29-GX29,0)</f>
        <v>0</v>
      </c>
      <c r="GO29">
        <f>IF(BI29=2,GM29-GX29,0)</f>
        <v>895.35</v>
      </c>
      <c r="GP29">
        <f>IF(BI29=4,GM29-GX29,0)</f>
        <v>0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32</v>
      </c>
      <c r="HO29" t="s">
        <v>33</v>
      </c>
      <c r="HP29" t="s">
        <v>29</v>
      </c>
      <c r="HQ29" t="s">
        <v>29</v>
      </c>
      <c r="IK29">
        <v>0</v>
      </c>
    </row>
    <row r="31" spans="1:245" x14ac:dyDescent="0.2">
      <c r="A31" s="2">
        <v>51</v>
      </c>
      <c r="B31" s="2">
        <f>B24</f>
        <v>1</v>
      </c>
      <c r="C31" s="2">
        <f>A24</f>
        <v>4</v>
      </c>
      <c r="D31" s="2">
        <f>ROW(A24)</f>
        <v>24</v>
      </c>
      <c r="E31" s="2"/>
      <c r="F31" s="2" t="str">
        <f>IF(F24&lt;&gt;"",F24,"")</f>
        <v>Новый раздел</v>
      </c>
      <c r="G31" s="2" t="str">
        <f>IF(G24&lt;&gt;"",G24,"")</f>
        <v>Демонтажные работы</v>
      </c>
      <c r="H31" s="2">
        <v>0</v>
      </c>
      <c r="I31" s="2"/>
      <c r="J31" s="2"/>
      <c r="K31" s="2"/>
      <c r="L31" s="2"/>
      <c r="M31" s="2"/>
      <c r="N31" s="2"/>
      <c r="O31" s="2">
        <f t="shared" ref="O31:T31" si="21">ROUND(AB31,2)</f>
        <v>8125.01</v>
      </c>
      <c r="P31" s="2">
        <f t="shared" si="21"/>
        <v>0</v>
      </c>
      <c r="Q31" s="2">
        <f t="shared" si="21"/>
        <v>1228.03</v>
      </c>
      <c r="R31" s="2">
        <f t="shared" si="21"/>
        <v>652.07000000000005</v>
      </c>
      <c r="S31" s="2">
        <f t="shared" si="21"/>
        <v>6244.91</v>
      </c>
      <c r="T31" s="2">
        <f t="shared" si="21"/>
        <v>0</v>
      </c>
      <c r="U31" s="2">
        <f>AH31</f>
        <v>14.347199999999999</v>
      </c>
      <c r="V31" s="2">
        <f>AI31</f>
        <v>1.2911519999999999</v>
      </c>
      <c r="W31" s="2">
        <f>ROUND(AJ31,2)</f>
        <v>0</v>
      </c>
      <c r="X31" s="2">
        <f>ROUND(AK31,2)</f>
        <v>6690.07</v>
      </c>
      <c r="Y31" s="2">
        <f>ROUND(AL31,2)</f>
        <v>3517.46</v>
      </c>
      <c r="Z31" s="2"/>
      <c r="AA31" s="2"/>
      <c r="AB31" s="2">
        <f>ROUND(SUMIF(AA28:AA29,"=61625010",O28:O29),2)</f>
        <v>8125.01</v>
      </c>
      <c r="AC31" s="2">
        <f>ROUND(SUMIF(AA28:AA29,"=61625010",P28:P29),2)</f>
        <v>0</v>
      </c>
      <c r="AD31" s="2">
        <f>ROUND(SUMIF(AA28:AA29,"=61625010",Q28:Q29),2)</f>
        <v>1228.03</v>
      </c>
      <c r="AE31" s="2">
        <f>ROUND(SUMIF(AA28:AA29,"=61625010",R28:R29),2)</f>
        <v>652.07000000000005</v>
      </c>
      <c r="AF31" s="2">
        <f>ROUND(SUMIF(AA28:AA29,"=61625010",S28:S29),2)</f>
        <v>6244.91</v>
      </c>
      <c r="AG31" s="2">
        <f>ROUND(SUMIF(AA28:AA29,"=61625010",T28:T29),2)</f>
        <v>0</v>
      </c>
      <c r="AH31" s="2">
        <f>SUMIF(AA28:AA29,"=61625010",U28:U29)</f>
        <v>14.347199999999999</v>
      </c>
      <c r="AI31" s="2">
        <f>SUMIF(AA28:AA29,"=61625010",V28:V29)</f>
        <v>1.2911519999999999</v>
      </c>
      <c r="AJ31" s="2">
        <f>ROUND(SUMIF(AA28:AA29,"=61625010",W28:W29),2)</f>
        <v>0</v>
      </c>
      <c r="AK31" s="2">
        <f>ROUND(SUMIF(AA28:AA29,"=61625010",X28:X29),2)</f>
        <v>6690.07</v>
      </c>
      <c r="AL31" s="2">
        <f>ROUND(SUMIF(AA28:AA29,"=61625010",Y28:Y29),2)</f>
        <v>3517.46</v>
      </c>
      <c r="AM31" s="2"/>
      <c r="AN31" s="2"/>
      <c r="AO31" s="2">
        <f t="shared" ref="AO31:BD31" si="22">ROUND(BX31,2)</f>
        <v>0</v>
      </c>
      <c r="AP31" s="2">
        <f t="shared" si="22"/>
        <v>0</v>
      </c>
      <c r="AQ31" s="2">
        <f t="shared" si="22"/>
        <v>0</v>
      </c>
      <c r="AR31" s="2">
        <f t="shared" si="22"/>
        <v>18332.54</v>
      </c>
      <c r="AS31" s="2">
        <f t="shared" si="22"/>
        <v>0</v>
      </c>
      <c r="AT31" s="2">
        <f t="shared" si="22"/>
        <v>18332.54</v>
      </c>
      <c r="AU31" s="2">
        <f t="shared" si="22"/>
        <v>0</v>
      </c>
      <c r="AV31" s="2">
        <f t="shared" si="22"/>
        <v>0</v>
      </c>
      <c r="AW31" s="2">
        <f t="shared" si="22"/>
        <v>0</v>
      </c>
      <c r="AX31" s="2">
        <f t="shared" si="22"/>
        <v>0</v>
      </c>
      <c r="AY31" s="2">
        <f t="shared" si="22"/>
        <v>0</v>
      </c>
      <c r="AZ31" s="2">
        <f t="shared" si="22"/>
        <v>0</v>
      </c>
      <c r="BA31" s="2">
        <f t="shared" si="22"/>
        <v>0</v>
      </c>
      <c r="BB31" s="2">
        <f t="shared" si="22"/>
        <v>0</v>
      </c>
      <c r="BC31" s="2">
        <f t="shared" si="22"/>
        <v>0</v>
      </c>
      <c r="BD31" s="2">
        <f t="shared" si="22"/>
        <v>0</v>
      </c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>
        <f>ROUND(SUMIF(AA28:AA29,"=61625010",FQ28:FQ29),2)</f>
        <v>0</v>
      </c>
      <c r="BY31" s="2">
        <f>ROUND(SUMIF(AA28:AA29,"=61625010",FR28:FR29),2)</f>
        <v>0</v>
      </c>
      <c r="BZ31" s="2">
        <f>ROUND(SUMIF(AA28:AA29,"=61625010",GL28:GL29),2)</f>
        <v>0</v>
      </c>
      <c r="CA31" s="2">
        <f>ROUND(SUMIF(AA28:AA29,"=61625010",GM28:GM29),2)</f>
        <v>18332.54</v>
      </c>
      <c r="CB31" s="2">
        <f>ROUND(SUMIF(AA28:AA29,"=61625010",GN28:GN29),2)</f>
        <v>0</v>
      </c>
      <c r="CC31" s="2">
        <f>ROUND(SUMIF(AA28:AA29,"=61625010",GO28:GO29),2)</f>
        <v>18332.54</v>
      </c>
      <c r="CD31" s="2">
        <f>ROUND(SUMIF(AA28:AA29,"=61625010",GP28:GP29),2)</f>
        <v>0</v>
      </c>
      <c r="CE31" s="2">
        <f>AC31-BX31</f>
        <v>0</v>
      </c>
      <c r="CF31" s="2">
        <f>AC31-BY31</f>
        <v>0</v>
      </c>
      <c r="CG31" s="2">
        <f>BX31-BZ31</f>
        <v>0</v>
      </c>
      <c r="CH31" s="2">
        <f>AC31-BX31-BY31+BZ31</f>
        <v>0</v>
      </c>
      <c r="CI31" s="2">
        <f>BY31-BZ31</f>
        <v>0</v>
      </c>
      <c r="CJ31" s="2">
        <f>ROUND(SUMIF(AA28:AA29,"=61625010",GX28:GX29),2)</f>
        <v>0</v>
      </c>
      <c r="CK31" s="2">
        <f>ROUND(SUMIF(AA28:AA29,"=61625010",GY28:GY29),2)</f>
        <v>0</v>
      </c>
      <c r="CL31" s="2">
        <f>ROUND(SUMIF(AA28:AA29,"=61625010",GZ28:GZ29),2)</f>
        <v>0</v>
      </c>
      <c r="CM31" s="2">
        <f>ROUND(SUMIF(AA28:AA29,"=61625010",HD28:HD29),2)</f>
        <v>0</v>
      </c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>
        <v>0</v>
      </c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201</v>
      </c>
      <c r="F33" s="4">
        <f>ROUND(Source!O31,O33)</f>
        <v>8125.01</v>
      </c>
      <c r="G33" s="4" t="s">
        <v>39</v>
      </c>
      <c r="H33" s="4" t="s">
        <v>40</v>
      </c>
      <c r="I33" s="4"/>
      <c r="J33" s="4"/>
      <c r="K33" s="4">
        <v>201</v>
      </c>
      <c r="L33" s="4">
        <v>1</v>
      </c>
      <c r="M33" s="4">
        <v>3</v>
      </c>
      <c r="N33" s="4" t="s">
        <v>3</v>
      </c>
      <c r="O33" s="4">
        <v>2</v>
      </c>
      <c r="P33" s="4"/>
      <c r="Q33" s="4"/>
      <c r="R33" s="4"/>
      <c r="S33" s="4"/>
      <c r="T33" s="4"/>
      <c r="U33" s="4"/>
      <c r="V33" s="4"/>
      <c r="W33" s="4">
        <v>8125.0099999999993</v>
      </c>
      <c r="X33" s="4">
        <v>1</v>
      </c>
      <c r="Y33" s="4">
        <v>8125.0099999999993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202</v>
      </c>
      <c r="F34" s="4">
        <f>ROUND(Source!P31,O34)</f>
        <v>0</v>
      </c>
      <c r="G34" s="4" t="s">
        <v>41</v>
      </c>
      <c r="H34" s="4" t="s">
        <v>42</v>
      </c>
      <c r="I34" s="4"/>
      <c r="J34" s="4"/>
      <c r="K34" s="4">
        <v>202</v>
      </c>
      <c r="L34" s="4">
        <v>2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222</v>
      </c>
      <c r="F35" s="4">
        <f>ROUND(Source!AO31,O35)</f>
        <v>0</v>
      </c>
      <c r="G35" s="4" t="s">
        <v>43</v>
      </c>
      <c r="H35" s="4" t="s">
        <v>44</v>
      </c>
      <c r="I35" s="4"/>
      <c r="J35" s="4"/>
      <c r="K35" s="4">
        <v>222</v>
      </c>
      <c r="L35" s="4">
        <v>3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225</v>
      </c>
      <c r="F36" s="4">
        <f>ROUND(Source!AV31,O36)</f>
        <v>0</v>
      </c>
      <c r="G36" s="4" t="s">
        <v>45</v>
      </c>
      <c r="H36" s="4" t="s">
        <v>46</v>
      </c>
      <c r="I36" s="4"/>
      <c r="J36" s="4"/>
      <c r="K36" s="4">
        <v>225</v>
      </c>
      <c r="L36" s="4">
        <v>4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226</v>
      </c>
      <c r="F37" s="4">
        <f>ROUND(Source!AW31,O37)</f>
        <v>0</v>
      </c>
      <c r="G37" s="4" t="s">
        <v>47</v>
      </c>
      <c r="H37" s="4" t="s">
        <v>48</v>
      </c>
      <c r="I37" s="4"/>
      <c r="J37" s="4"/>
      <c r="K37" s="4">
        <v>226</v>
      </c>
      <c r="L37" s="4">
        <v>5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227</v>
      </c>
      <c r="F38" s="4">
        <f>ROUND(Source!AX31,O38)</f>
        <v>0</v>
      </c>
      <c r="G38" s="4" t="s">
        <v>49</v>
      </c>
      <c r="H38" s="4" t="s">
        <v>50</v>
      </c>
      <c r="I38" s="4"/>
      <c r="J38" s="4"/>
      <c r="K38" s="4">
        <v>227</v>
      </c>
      <c r="L38" s="4">
        <v>6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228</v>
      </c>
      <c r="F39" s="4">
        <f>ROUND(Source!AY31,O39)</f>
        <v>0</v>
      </c>
      <c r="G39" s="4" t="s">
        <v>51</v>
      </c>
      <c r="H39" s="4" t="s">
        <v>52</v>
      </c>
      <c r="I39" s="4"/>
      <c r="J39" s="4"/>
      <c r="K39" s="4">
        <v>228</v>
      </c>
      <c r="L39" s="4">
        <v>7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216</v>
      </c>
      <c r="F40" s="4">
        <f>ROUND(Source!AP31,O40)</f>
        <v>0</v>
      </c>
      <c r="G40" s="4" t="s">
        <v>53</v>
      </c>
      <c r="H40" s="4" t="s">
        <v>54</v>
      </c>
      <c r="I40" s="4"/>
      <c r="J40" s="4"/>
      <c r="K40" s="4">
        <v>216</v>
      </c>
      <c r="L40" s="4">
        <v>8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223</v>
      </c>
      <c r="F41" s="4">
        <f>ROUND(Source!AQ31,O41)</f>
        <v>0</v>
      </c>
      <c r="G41" s="4" t="s">
        <v>55</v>
      </c>
      <c r="H41" s="4" t="s">
        <v>56</v>
      </c>
      <c r="I41" s="4"/>
      <c r="J41" s="4"/>
      <c r="K41" s="4">
        <v>223</v>
      </c>
      <c r="L41" s="4">
        <v>9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229</v>
      </c>
      <c r="F42" s="4">
        <f>ROUND(Source!AZ31,O42)</f>
        <v>0</v>
      </c>
      <c r="G42" s="4" t="s">
        <v>57</v>
      </c>
      <c r="H42" s="4" t="s">
        <v>58</v>
      </c>
      <c r="I42" s="4"/>
      <c r="J42" s="4"/>
      <c r="K42" s="4">
        <v>229</v>
      </c>
      <c r="L42" s="4">
        <v>10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203</v>
      </c>
      <c r="F43" s="4">
        <f>ROUND(Source!Q31,O43)</f>
        <v>1228.03</v>
      </c>
      <c r="G43" s="4" t="s">
        <v>59</v>
      </c>
      <c r="H43" s="4" t="s">
        <v>60</v>
      </c>
      <c r="I43" s="4"/>
      <c r="J43" s="4"/>
      <c r="K43" s="4">
        <v>203</v>
      </c>
      <c r="L43" s="4">
        <v>11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1228.03</v>
      </c>
      <c r="X43" s="4">
        <v>1</v>
      </c>
      <c r="Y43" s="4">
        <v>1228.03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231</v>
      </c>
      <c r="F44" s="4">
        <f>ROUND(Source!BB31,O44)</f>
        <v>0</v>
      </c>
      <c r="G44" s="4" t="s">
        <v>61</v>
      </c>
      <c r="H44" s="4" t="s">
        <v>62</v>
      </c>
      <c r="I44" s="4"/>
      <c r="J44" s="4"/>
      <c r="K44" s="4">
        <v>231</v>
      </c>
      <c r="L44" s="4">
        <v>12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204</v>
      </c>
      <c r="F45" s="4">
        <f>ROUND(Source!R31,O45)</f>
        <v>652.07000000000005</v>
      </c>
      <c r="G45" s="4" t="s">
        <v>63</v>
      </c>
      <c r="H45" s="4" t="s">
        <v>64</v>
      </c>
      <c r="I45" s="4"/>
      <c r="J45" s="4"/>
      <c r="K45" s="4">
        <v>204</v>
      </c>
      <c r="L45" s="4">
        <v>13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652.07000000000005</v>
      </c>
      <c r="X45" s="4">
        <v>1</v>
      </c>
      <c r="Y45" s="4">
        <v>652.07000000000005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205</v>
      </c>
      <c r="F46" s="4">
        <f>ROUND(Source!S31,O46)</f>
        <v>6244.91</v>
      </c>
      <c r="G46" s="4" t="s">
        <v>65</v>
      </c>
      <c r="H46" s="4" t="s">
        <v>66</v>
      </c>
      <c r="I46" s="4"/>
      <c r="J46" s="4"/>
      <c r="K46" s="4">
        <v>205</v>
      </c>
      <c r="L46" s="4">
        <v>14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6244.91</v>
      </c>
      <c r="X46" s="4">
        <v>1</v>
      </c>
      <c r="Y46" s="4">
        <v>6244.91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232</v>
      </c>
      <c r="F47" s="4">
        <f>ROUND(Source!BC31,O47)</f>
        <v>0</v>
      </c>
      <c r="G47" s="4" t="s">
        <v>67</v>
      </c>
      <c r="H47" s="4" t="s">
        <v>68</v>
      </c>
      <c r="I47" s="4"/>
      <c r="J47" s="4"/>
      <c r="K47" s="4">
        <v>232</v>
      </c>
      <c r="L47" s="4">
        <v>15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214</v>
      </c>
      <c r="F48" s="4">
        <f>ROUND(Source!AS31,O48)</f>
        <v>0</v>
      </c>
      <c r="G48" s="4" t="s">
        <v>69</v>
      </c>
      <c r="H48" s="4" t="s">
        <v>70</v>
      </c>
      <c r="I48" s="4"/>
      <c r="J48" s="4"/>
      <c r="K48" s="4">
        <v>214</v>
      </c>
      <c r="L48" s="4">
        <v>16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06" x14ac:dyDescent="0.2">
      <c r="A49" s="4">
        <v>50</v>
      </c>
      <c r="B49" s="4">
        <v>0</v>
      </c>
      <c r="C49" s="4">
        <v>0</v>
      </c>
      <c r="D49" s="4">
        <v>1</v>
      </c>
      <c r="E49" s="4">
        <v>215</v>
      </c>
      <c r="F49" s="4">
        <f>ROUND(Source!AT31,O49)</f>
        <v>18332.54</v>
      </c>
      <c r="G49" s="4" t="s">
        <v>71</v>
      </c>
      <c r="H49" s="4" t="s">
        <v>72</v>
      </c>
      <c r="I49" s="4"/>
      <c r="J49" s="4"/>
      <c r="K49" s="4">
        <v>215</v>
      </c>
      <c r="L49" s="4">
        <v>17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18332.54</v>
      </c>
      <c r="X49" s="4">
        <v>1</v>
      </c>
      <c r="Y49" s="4">
        <v>18332.54</v>
      </c>
      <c r="Z49" s="4"/>
      <c r="AA49" s="4"/>
      <c r="AB49" s="4"/>
    </row>
    <row r="50" spans="1:206" x14ac:dyDescent="0.2">
      <c r="A50" s="4">
        <v>50</v>
      </c>
      <c r="B50" s="4">
        <v>0</v>
      </c>
      <c r="C50" s="4">
        <v>0</v>
      </c>
      <c r="D50" s="4">
        <v>1</v>
      </c>
      <c r="E50" s="4">
        <v>217</v>
      </c>
      <c r="F50" s="4">
        <f>ROUND(Source!AU31,O50)</f>
        <v>0</v>
      </c>
      <c r="G50" s="4" t="s">
        <v>73</v>
      </c>
      <c r="H50" s="4" t="s">
        <v>74</v>
      </c>
      <c r="I50" s="4"/>
      <c r="J50" s="4"/>
      <c r="K50" s="4">
        <v>217</v>
      </c>
      <c r="L50" s="4">
        <v>18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06" x14ac:dyDescent="0.2">
      <c r="A51" s="4">
        <v>50</v>
      </c>
      <c r="B51" s="4">
        <v>0</v>
      </c>
      <c r="C51" s="4">
        <v>0</v>
      </c>
      <c r="D51" s="4">
        <v>1</v>
      </c>
      <c r="E51" s="4">
        <v>230</v>
      </c>
      <c r="F51" s="4">
        <f>ROUND(Source!BA31,O51)</f>
        <v>0</v>
      </c>
      <c r="G51" s="4" t="s">
        <v>75</v>
      </c>
      <c r="H51" s="4" t="s">
        <v>76</v>
      </c>
      <c r="I51" s="4"/>
      <c r="J51" s="4"/>
      <c r="K51" s="4">
        <v>230</v>
      </c>
      <c r="L51" s="4">
        <v>19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206</v>
      </c>
      <c r="F52" s="4">
        <f>ROUND(Source!T31,O52)</f>
        <v>0</v>
      </c>
      <c r="G52" s="4" t="s">
        <v>77</v>
      </c>
      <c r="H52" s="4" t="s">
        <v>78</v>
      </c>
      <c r="I52" s="4"/>
      <c r="J52" s="4"/>
      <c r="K52" s="4">
        <v>206</v>
      </c>
      <c r="L52" s="4">
        <v>20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207</v>
      </c>
      <c r="F53" s="4">
        <f>ROUND(Source!U31,O53)</f>
        <v>14.347200000000001</v>
      </c>
      <c r="G53" s="4" t="s">
        <v>79</v>
      </c>
      <c r="H53" s="4" t="s">
        <v>80</v>
      </c>
      <c r="I53" s="4"/>
      <c r="J53" s="4"/>
      <c r="K53" s="4">
        <v>207</v>
      </c>
      <c r="L53" s="4">
        <v>21</v>
      </c>
      <c r="M53" s="4">
        <v>3</v>
      </c>
      <c r="N53" s="4" t="s">
        <v>3</v>
      </c>
      <c r="O53" s="4">
        <v>7</v>
      </c>
      <c r="P53" s="4"/>
      <c r="Q53" s="4"/>
      <c r="R53" s="4"/>
      <c r="S53" s="4"/>
      <c r="T53" s="4"/>
      <c r="U53" s="4"/>
      <c r="V53" s="4"/>
      <c r="W53" s="4">
        <v>14.347200000000001</v>
      </c>
      <c r="X53" s="4">
        <v>1</v>
      </c>
      <c r="Y53" s="4">
        <v>14.347200000000001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208</v>
      </c>
      <c r="F54" s="4">
        <f>ROUND(Source!V31,O54)</f>
        <v>1.2911520000000001</v>
      </c>
      <c r="G54" s="4" t="s">
        <v>81</v>
      </c>
      <c r="H54" s="4" t="s">
        <v>82</v>
      </c>
      <c r="I54" s="4"/>
      <c r="J54" s="4"/>
      <c r="K54" s="4">
        <v>208</v>
      </c>
      <c r="L54" s="4">
        <v>22</v>
      </c>
      <c r="M54" s="4">
        <v>3</v>
      </c>
      <c r="N54" s="4" t="s">
        <v>3</v>
      </c>
      <c r="O54" s="4">
        <v>7</v>
      </c>
      <c r="P54" s="4"/>
      <c r="Q54" s="4"/>
      <c r="R54" s="4"/>
      <c r="S54" s="4"/>
      <c r="T54" s="4"/>
      <c r="U54" s="4"/>
      <c r="V54" s="4"/>
      <c r="W54" s="4">
        <v>1.2911520000000001</v>
      </c>
      <c r="X54" s="4">
        <v>1</v>
      </c>
      <c r="Y54" s="4">
        <v>1.2911520000000001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209</v>
      </c>
      <c r="F55" s="4">
        <f>ROUND(Source!W31,O55)</f>
        <v>0</v>
      </c>
      <c r="G55" s="4" t="s">
        <v>83</v>
      </c>
      <c r="H55" s="4" t="s">
        <v>84</v>
      </c>
      <c r="I55" s="4"/>
      <c r="J55" s="4"/>
      <c r="K55" s="4">
        <v>209</v>
      </c>
      <c r="L55" s="4">
        <v>23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233</v>
      </c>
      <c r="F56" s="4">
        <f>ROUND(Source!BD31,O56)</f>
        <v>0</v>
      </c>
      <c r="G56" s="4" t="s">
        <v>85</v>
      </c>
      <c r="H56" s="4" t="s">
        <v>86</v>
      </c>
      <c r="I56" s="4"/>
      <c r="J56" s="4"/>
      <c r="K56" s="4">
        <v>233</v>
      </c>
      <c r="L56" s="4">
        <v>24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210</v>
      </c>
      <c r="F57" s="4">
        <f>ROUND(Source!X31,O57)</f>
        <v>6690.07</v>
      </c>
      <c r="G57" s="4" t="s">
        <v>87</v>
      </c>
      <c r="H57" s="4" t="s">
        <v>88</v>
      </c>
      <c r="I57" s="4"/>
      <c r="J57" s="4"/>
      <c r="K57" s="4">
        <v>210</v>
      </c>
      <c r="L57" s="4">
        <v>25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6690.07</v>
      </c>
      <c r="X57" s="4">
        <v>1</v>
      </c>
      <c r="Y57" s="4">
        <v>6690.07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211</v>
      </c>
      <c r="F58" s="4">
        <f>ROUND(Source!Y31,O58)</f>
        <v>3517.46</v>
      </c>
      <c r="G58" s="4" t="s">
        <v>89</v>
      </c>
      <c r="H58" s="4" t="s">
        <v>90</v>
      </c>
      <c r="I58" s="4"/>
      <c r="J58" s="4"/>
      <c r="K58" s="4">
        <v>211</v>
      </c>
      <c r="L58" s="4">
        <v>26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3517.46</v>
      </c>
      <c r="X58" s="4">
        <v>1</v>
      </c>
      <c r="Y58" s="4">
        <v>3517.46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224</v>
      </c>
      <c r="F59" s="4">
        <f>ROUND(Source!AR31,O59)</f>
        <v>18332.54</v>
      </c>
      <c r="G59" s="4" t="s">
        <v>91</v>
      </c>
      <c r="H59" s="4" t="s">
        <v>92</v>
      </c>
      <c r="I59" s="4"/>
      <c r="J59" s="4"/>
      <c r="K59" s="4">
        <v>224</v>
      </c>
      <c r="L59" s="4">
        <v>27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18332.539999999997</v>
      </c>
      <c r="X59" s="4">
        <v>1</v>
      </c>
      <c r="Y59" s="4">
        <v>18332.539999999997</v>
      </c>
      <c r="Z59" s="4"/>
      <c r="AA59" s="4"/>
      <c r="AB59" s="4"/>
    </row>
    <row r="61" spans="1:206" x14ac:dyDescent="0.2">
      <c r="A61" s="1">
        <v>4</v>
      </c>
      <c r="B61" s="1">
        <v>1</v>
      </c>
      <c r="C61" s="1"/>
      <c r="D61" s="1">
        <f>ROW(A68)</f>
        <v>68</v>
      </c>
      <c r="E61" s="1"/>
      <c r="F61" s="1" t="s">
        <v>18</v>
      </c>
      <c r="G61" s="1" t="s">
        <v>28</v>
      </c>
      <c r="H61" s="1" t="s">
        <v>3</v>
      </c>
      <c r="I61" s="1">
        <v>0</v>
      </c>
      <c r="J61" s="1"/>
      <c r="K61" s="1">
        <v>0</v>
      </c>
      <c r="L61" s="1"/>
      <c r="M61" s="1" t="s">
        <v>3</v>
      </c>
      <c r="N61" s="1"/>
      <c r="O61" s="1"/>
      <c r="P61" s="1"/>
      <c r="Q61" s="1"/>
      <c r="R61" s="1"/>
      <c r="S61" s="1">
        <v>0</v>
      </c>
      <c r="T61" s="1"/>
      <c r="U61" s="1" t="s">
        <v>3</v>
      </c>
      <c r="V61" s="1">
        <v>0</v>
      </c>
      <c r="W61" s="1"/>
      <c r="X61" s="1"/>
      <c r="Y61" s="1"/>
      <c r="Z61" s="1"/>
      <c r="AA61" s="1"/>
      <c r="AB61" s="1" t="s">
        <v>3</v>
      </c>
      <c r="AC61" s="1" t="s">
        <v>3</v>
      </c>
      <c r="AD61" s="1" t="s">
        <v>3</v>
      </c>
      <c r="AE61" s="1" t="s">
        <v>3</v>
      </c>
      <c r="AF61" s="1" t="s">
        <v>3</v>
      </c>
      <c r="AG61" s="1" t="s">
        <v>3</v>
      </c>
      <c r="AH61" s="1"/>
      <c r="AI61" s="1"/>
      <c r="AJ61" s="1"/>
      <c r="AK61" s="1"/>
      <c r="AL61" s="1"/>
      <c r="AM61" s="1"/>
      <c r="AN61" s="1"/>
      <c r="AO61" s="1"/>
      <c r="AP61" s="1" t="s">
        <v>3</v>
      </c>
      <c r="AQ61" s="1" t="s">
        <v>3</v>
      </c>
      <c r="AR61" s="1" t="s">
        <v>3</v>
      </c>
      <c r="AS61" s="1"/>
      <c r="AT61" s="1"/>
      <c r="AU61" s="1"/>
      <c r="AV61" s="1"/>
      <c r="AW61" s="1"/>
      <c r="AX61" s="1"/>
      <c r="AY61" s="1"/>
      <c r="AZ61" s="1" t="s">
        <v>3</v>
      </c>
      <c r="BA61" s="1"/>
      <c r="BB61" s="1" t="s">
        <v>3</v>
      </c>
      <c r="BC61" s="1" t="s">
        <v>3</v>
      </c>
      <c r="BD61" s="1" t="s">
        <v>3</v>
      </c>
      <c r="BE61" s="1" t="s">
        <v>3</v>
      </c>
      <c r="BF61" s="1" t="s">
        <v>3</v>
      </c>
      <c r="BG61" s="1" t="s">
        <v>3</v>
      </c>
      <c r="BH61" s="1" t="s">
        <v>3</v>
      </c>
      <c r="BI61" s="1" t="s">
        <v>3</v>
      </c>
      <c r="BJ61" s="1" t="s">
        <v>3</v>
      </c>
      <c r="BK61" s="1" t="s">
        <v>3</v>
      </c>
      <c r="BL61" s="1" t="s">
        <v>3</v>
      </c>
      <c r="BM61" s="1" t="s">
        <v>3</v>
      </c>
      <c r="BN61" s="1" t="s">
        <v>3</v>
      </c>
      <c r="BO61" s="1" t="s">
        <v>3</v>
      </c>
      <c r="BP61" s="1" t="s">
        <v>3</v>
      </c>
      <c r="BQ61" s="1"/>
      <c r="BR61" s="1"/>
      <c r="BS61" s="1"/>
      <c r="BT61" s="1"/>
      <c r="BU61" s="1"/>
      <c r="BV61" s="1"/>
      <c r="BW61" s="1"/>
      <c r="BX61" s="1">
        <v>0</v>
      </c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>
        <v>0</v>
      </c>
    </row>
    <row r="63" spans="1:206" x14ac:dyDescent="0.2">
      <c r="A63" s="2">
        <v>52</v>
      </c>
      <c r="B63" s="2">
        <f t="shared" ref="B63:G63" si="23">B68</f>
        <v>1</v>
      </c>
      <c r="C63" s="2">
        <f t="shared" si="23"/>
        <v>4</v>
      </c>
      <c r="D63" s="2">
        <f t="shared" si="23"/>
        <v>61</v>
      </c>
      <c r="E63" s="2">
        <f t="shared" si="23"/>
        <v>0</v>
      </c>
      <c r="F63" s="2" t="str">
        <f t="shared" si="23"/>
        <v>Новый раздел</v>
      </c>
      <c r="G63" s="2" t="str">
        <f t="shared" si="23"/>
        <v>Монтажные работы</v>
      </c>
      <c r="H63" s="2"/>
      <c r="I63" s="2"/>
      <c r="J63" s="2"/>
      <c r="K63" s="2"/>
      <c r="L63" s="2"/>
      <c r="M63" s="2"/>
      <c r="N63" s="2"/>
      <c r="O63" s="2">
        <f t="shared" ref="O63:AT63" si="24">O68</f>
        <v>27455.86</v>
      </c>
      <c r="P63" s="2">
        <f t="shared" si="24"/>
        <v>372.45</v>
      </c>
      <c r="Q63" s="2">
        <f t="shared" si="24"/>
        <v>4093.45</v>
      </c>
      <c r="R63" s="2">
        <f t="shared" si="24"/>
        <v>2173.61</v>
      </c>
      <c r="S63" s="2">
        <f t="shared" si="24"/>
        <v>20816.349999999999</v>
      </c>
      <c r="T63" s="2">
        <f t="shared" si="24"/>
        <v>0</v>
      </c>
      <c r="U63" s="2">
        <f t="shared" si="24"/>
        <v>47.823999999999998</v>
      </c>
      <c r="V63" s="2">
        <f t="shared" si="24"/>
        <v>4.3038400000000001</v>
      </c>
      <c r="W63" s="2">
        <f t="shared" si="24"/>
        <v>0</v>
      </c>
      <c r="X63" s="2">
        <f t="shared" si="24"/>
        <v>22300.26</v>
      </c>
      <c r="Y63" s="2">
        <f t="shared" si="24"/>
        <v>11724.88</v>
      </c>
      <c r="Z63" s="2">
        <f t="shared" si="24"/>
        <v>0</v>
      </c>
      <c r="AA63" s="2">
        <f t="shared" si="24"/>
        <v>0</v>
      </c>
      <c r="AB63" s="2">
        <f t="shared" si="24"/>
        <v>27455.86</v>
      </c>
      <c r="AC63" s="2">
        <f t="shared" si="24"/>
        <v>372.45</v>
      </c>
      <c r="AD63" s="2">
        <f t="shared" si="24"/>
        <v>4093.45</v>
      </c>
      <c r="AE63" s="2">
        <f t="shared" si="24"/>
        <v>2173.61</v>
      </c>
      <c r="AF63" s="2">
        <f t="shared" si="24"/>
        <v>20816.349999999999</v>
      </c>
      <c r="AG63" s="2">
        <f t="shared" si="24"/>
        <v>0</v>
      </c>
      <c r="AH63" s="2">
        <f t="shared" si="24"/>
        <v>47.823999999999998</v>
      </c>
      <c r="AI63" s="2">
        <f t="shared" si="24"/>
        <v>4.3038400000000001</v>
      </c>
      <c r="AJ63" s="2">
        <f t="shared" si="24"/>
        <v>0</v>
      </c>
      <c r="AK63" s="2">
        <f t="shared" si="24"/>
        <v>22300.26</v>
      </c>
      <c r="AL63" s="2">
        <f t="shared" si="24"/>
        <v>11724.88</v>
      </c>
      <c r="AM63" s="2">
        <f t="shared" si="24"/>
        <v>0</v>
      </c>
      <c r="AN63" s="2">
        <f t="shared" si="24"/>
        <v>0</v>
      </c>
      <c r="AO63" s="2">
        <f t="shared" si="24"/>
        <v>0</v>
      </c>
      <c r="AP63" s="2">
        <f t="shared" si="24"/>
        <v>0</v>
      </c>
      <c r="AQ63" s="2">
        <f t="shared" si="24"/>
        <v>0</v>
      </c>
      <c r="AR63" s="2">
        <f t="shared" si="24"/>
        <v>61481</v>
      </c>
      <c r="AS63" s="2">
        <f t="shared" si="24"/>
        <v>0</v>
      </c>
      <c r="AT63" s="2">
        <f t="shared" si="24"/>
        <v>61481</v>
      </c>
      <c r="AU63" s="2">
        <f t="shared" ref="AU63:BZ63" si="25">AU68</f>
        <v>0</v>
      </c>
      <c r="AV63" s="2">
        <f t="shared" si="25"/>
        <v>372.45</v>
      </c>
      <c r="AW63" s="2">
        <f t="shared" si="25"/>
        <v>372.45</v>
      </c>
      <c r="AX63" s="2">
        <f t="shared" si="25"/>
        <v>0</v>
      </c>
      <c r="AY63" s="2">
        <f t="shared" si="25"/>
        <v>372.45</v>
      </c>
      <c r="AZ63" s="2">
        <f t="shared" si="25"/>
        <v>0</v>
      </c>
      <c r="BA63" s="2">
        <f t="shared" si="25"/>
        <v>0</v>
      </c>
      <c r="BB63" s="2">
        <f t="shared" si="25"/>
        <v>0</v>
      </c>
      <c r="BC63" s="2">
        <f t="shared" si="25"/>
        <v>0</v>
      </c>
      <c r="BD63" s="2">
        <f t="shared" si="25"/>
        <v>0</v>
      </c>
      <c r="BE63" s="2">
        <f t="shared" si="25"/>
        <v>0</v>
      </c>
      <c r="BF63" s="2">
        <f t="shared" si="25"/>
        <v>0</v>
      </c>
      <c r="BG63" s="2">
        <f t="shared" si="25"/>
        <v>0</v>
      </c>
      <c r="BH63" s="2">
        <f t="shared" si="25"/>
        <v>0</v>
      </c>
      <c r="BI63" s="2">
        <f t="shared" si="25"/>
        <v>0</v>
      </c>
      <c r="BJ63" s="2">
        <f t="shared" si="25"/>
        <v>0</v>
      </c>
      <c r="BK63" s="2">
        <f t="shared" si="25"/>
        <v>0</v>
      </c>
      <c r="BL63" s="2">
        <f t="shared" si="25"/>
        <v>0</v>
      </c>
      <c r="BM63" s="2">
        <f t="shared" si="25"/>
        <v>0</v>
      </c>
      <c r="BN63" s="2">
        <f t="shared" si="25"/>
        <v>0</v>
      </c>
      <c r="BO63" s="2">
        <f t="shared" si="25"/>
        <v>0</v>
      </c>
      <c r="BP63" s="2">
        <f t="shared" si="25"/>
        <v>0</v>
      </c>
      <c r="BQ63" s="2">
        <f t="shared" si="25"/>
        <v>0</v>
      </c>
      <c r="BR63" s="2">
        <f t="shared" si="25"/>
        <v>0</v>
      </c>
      <c r="BS63" s="2">
        <f t="shared" si="25"/>
        <v>0</v>
      </c>
      <c r="BT63" s="2">
        <f t="shared" si="25"/>
        <v>0</v>
      </c>
      <c r="BU63" s="2">
        <f t="shared" si="25"/>
        <v>0</v>
      </c>
      <c r="BV63" s="2">
        <f t="shared" si="25"/>
        <v>0</v>
      </c>
      <c r="BW63" s="2">
        <f t="shared" si="25"/>
        <v>0</v>
      </c>
      <c r="BX63" s="2">
        <f t="shared" si="25"/>
        <v>0</v>
      </c>
      <c r="BY63" s="2">
        <f t="shared" si="25"/>
        <v>0</v>
      </c>
      <c r="BZ63" s="2">
        <f t="shared" si="25"/>
        <v>0</v>
      </c>
      <c r="CA63" s="2">
        <f t="shared" ref="CA63:DF63" si="26">CA68</f>
        <v>61481</v>
      </c>
      <c r="CB63" s="2">
        <f t="shared" si="26"/>
        <v>0</v>
      </c>
      <c r="CC63" s="2">
        <f t="shared" si="26"/>
        <v>61481</v>
      </c>
      <c r="CD63" s="2">
        <f t="shared" si="26"/>
        <v>0</v>
      </c>
      <c r="CE63" s="2">
        <f t="shared" si="26"/>
        <v>372.45</v>
      </c>
      <c r="CF63" s="2">
        <f t="shared" si="26"/>
        <v>372.45</v>
      </c>
      <c r="CG63" s="2">
        <f t="shared" si="26"/>
        <v>0</v>
      </c>
      <c r="CH63" s="2">
        <f t="shared" si="26"/>
        <v>372.45</v>
      </c>
      <c r="CI63" s="2">
        <f t="shared" si="26"/>
        <v>0</v>
      </c>
      <c r="CJ63" s="2">
        <f t="shared" si="26"/>
        <v>0</v>
      </c>
      <c r="CK63" s="2">
        <f t="shared" si="26"/>
        <v>0</v>
      </c>
      <c r="CL63" s="2">
        <f t="shared" si="26"/>
        <v>0</v>
      </c>
      <c r="CM63" s="2">
        <f t="shared" si="26"/>
        <v>0</v>
      </c>
      <c r="CN63" s="2">
        <f t="shared" si="26"/>
        <v>0</v>
      </c>
      <c r="CO63" s="2">
        <f t="shared" si="26"/>
        <v>0</v>
      </c>
      <c r="CP63" s="2">
        <f t="shared" si="26"/>
        <v>0</v>
      </c>
      <c r="CQ63" s="2">
        <f t="shared" si="26"/>
        <v>0</v>
      </c>
      <c r="CR63" s="2">
        <f t="shared" si="26"/>
        <v>0</v>
      </c>
      <c r="CS63" s="2">
        <f t="shared" si="26"/>
        <v>0</v>
      </c>
      <c r="CT63" s="2">
        <f t="shared" si="26"/>
        <v>0</v>
      </c>
      <c r="CU63" s="2">
        <f t="shared" si="26"/>
        <v>0</v>
      </c>
      <c r="CV63" s="2">
        <f t="shared" si="26"/>
        <v>0</v>
      </c>
      <c r="CW63" s="2">
        <f t="shared" si="26"/>
        <v>0</v>
      </c>
      <c r="CX63" s="2">
        <f t="shared" si="26"/>
        <v>0</v>
      </c>
      <c r="CY63" s="2">
        <f t="shared" si="26"/>
        <v>0</v>
      </c>
      <c r="CZ63" s="2">
        <f t="shared" si="26"/>
        <v>0</v>
      </c>
      <c r="DA63" s="2">
        <f t="shared" si="26"/>
        <v>0</v>
      </c>
      <c r="DB63" s="2">
        <f t="shared" si="26"/>
        <v>0</v>
      </c>
      <c r="DC63" s="2">
        <f t="shared" si="26"/>
        <v>0</v>
      </c>
      <c r="DD63" s="2">
        <f t="shared" si="26"/>
        <v>0</v>
      </c>
      <c r="DE63" s="2">
        <f t="shared" si="26"/>
        <v>0</v>
      </c>
      <c r="DF63" s="2">
        <f t="shared" si="26"/>
        <v>0</v>
      </c>
      <c r="DG63" s="3">
        <f t="shared" ref="DG63:EL63" si="27">DG68</f>
        <v>0</v>
      </c>
      <c r="DH63" s="3">
        <f t="shared" si="27"/>
        <v>0</v>
      </c>
      <c r="DI63" s="3">
        <f t="shared" si="27"/>
        <v>0</v>
      </c>
      <c r="DJ63" s="3">
        <f t="shared" si="27"/>
        <v>0</v>
      </c>
      <c r="DK63" s="3">
        <f t="shared" si="27"/>
        <v>0</v>
      </c>
      <c r="DL63" s="3">
        <f t="shared" si="27"/>
        <v>0</v>
      </c>
      <c r="DM63" s="3">
        <f t="shared" si="27"/>
        <v>0</v>
      </c>
      <c r="DN63" s="3">
        <f t="shared" si="27"/>
        <v>0</v>
      </c>
      <c r="DO63" s="3">
        <f t="shared" si="27"/>
        <v>0</v>
      </c>
      <c r="DP63" s="3">
        <f t="shared" si="27"/>
        <v>0</v>
      </c>
      <c r="DQ63" s="3">
        <f t="shared" si="27"/>
        <v>0</v>
      </c>
      <c r="DR63" s="3">
        <f t="shared" si="27"/>
        <v>0</v>
      </c>
      <c r="DS63" s="3">
        <f t="shared" si="27"/>
        <v>0</v>
      </c>
      <c r="DT63" s="3">
        <f t="shared" si="27"/>
        <v>0</v>
      </c>
      <c r="DU63" s="3">
        <f t="shared" si="27"/>
        <v>0</v>
      </c>
      <c r="DV63" s="3">
        <f t="shared" si="27"/>
        <v>0</v>
      </c>
      <c r="DW63" s="3">
        <f t="shared" si="27"/>
        <v>0</v>
      </c>
      <c r="DX63" s="3">
        <f t="shared" si="27"/>
        <v>0</v>
      </c>
      <c r="DY63" s="3">
        <f t="shared" si="27"/>
        <v>0</v>
      </c>
      <c r="DZ63" s="3">
        <f t="shared" si="27"/>
        <v>0</v>
      </c>
      <c r="EA63" s="3">
        <f t="shared" si="27"/>
        <v>0</v>
      </c>
      <c r="EB63" s="3">
        <f t="shared" si="27"/>
        <v>0</v>
      </c>
      <c r="EC63" s="3">
        <f t="shared" si="27"/>
        <v>0</v>
      </c>
      <c r="ED63" s="3">
        <f t="shared" si="27"/>
        <v>0</v>
      </c>
      <c r="EE63" s="3">
        <f t="shared" si="27"/>
        <v>0</v>
      </c>
      <c r="EF63" s="3">
        <f t="shared" si="27"/>
        <v>0</v>
      </c>
      <c r="EG63" s="3">
        <f t="shared" si="27"/>
        <v>0</v>
      </c>
      <c r="EH63" s="3">
        <f t="shared" si="27"/>
        <v>0</v>
      </c>
      <c r="EI63" s="3">
        <f t="shared" si="27"/>
        <v>0</v>
      </c>
      <c r="EJ63" s="3">
        <f t="shared" si="27"/>
        <v>0</v>
      </c>
      <c r="EK63" s="3">
        <f t="shared" si="27"/>
        <v>0</v>
      </c>
      <c r="EL63" s="3">
        <f t="shared" si="27"/>
        <v>0</v>
      </c>
      <c r="EM63" s="3">
        <f t="shared" ref="EM63:FR63" si="28">EM68</f>
        <v>0</v>
      </c>
      <c r="EN63" s="3">
        <f t="shared" si="28"/>
        <v>0</v>
      </c>
      <c r="EO63" s="3">
        <f t="shared" si="28"/>
        <v>0</v>
      </c>
      <c r="EP63" s="3">
        <f t="shared" si="28"/>
        <v>0</v>
      </c>
      <c r="EQ63" s="3">
        <f t="shared" si="28"/>
        <v>0</v>
      </c>
      <c r="ER63" s="3">
        <f t="shared" si="28"/>
        <v>0</v>
      </c>
      <c r="ES63" s="3">
        <f t="shared" si="28"/>
        <v>0</v>
      </c>
      <c r="ET63" s="3">
        <f t="shared" si="28"/>
        <v>0</v>
      </c>
      <c r="EU63" s="3">
        <f t="shared" si="28"/>
        <v>0</v>
      </c>
      <c r="EV63" s="3">
        <f t="shared" si="28"/>
        <v>0</v>
      </c>
      <c r="EW63" s="3">
        <f t="shared" si="28"/>
        <v>0</v>
      </c>
      <c r="EX63" s="3">
        <f t="shared" si="28"/>
        <v>0</v>
      </c>
      <c r="EY63" s="3">
        <f t="shared" si="28"/>
        <v>0</v>
      </c>
      <c r="EZ63" s="3">
        <f t="shared" si="28"/>
        <v>0</v>
      </c>
      <c r="FA63" s="3">
        <f t="shared" si="28"/>
        <v>0</v>
      </c>
      <c r="FB63" s="3">
        <f t="shared" si="28"/>
        <v>0</v>
      </c>
      <c r="FC63" s="3">
        <f t="shared" si="28"/>
        <v>0</v>
      </c>
      <c r="FD63" s="3">
        <f t="shared" si="28"/>
        <v>0</v>
      </c>
      <c r="FE63" s="3">
        <f t="shared" si="28"/>
        <v>0</v>
      </c>
      <c r="FF63" s="3">
        <f t="shared" si="28"/>
        <v>0</v>
      </c>
      <c r="FG63" s="3">
        <f t="shared" si="28"/>
        <v>0</v>
      </c>
      <c r="FH63" s="3">
        <f t="shared" si="28"/>
        <v>0</v>
      </c>
      <c r="FI63" s="3">
        <f t="shared" si="28"/>
        <v>0</v>
      </c>
      <c r="FJ63" s="3">
        <f t="shared" si="28"/>
        <v>0</v>
      </c>
      <c r="FK63" s="3">
        <f t="shared" si="28"/>
        <v>0</v>
      </c>
      <c r="FL63" s="3">
        <f t="shared" si="28"/>
        <v>0</v>
      </c>
      <c r="FM63" s="3">
        <f t="shared" si="28"/>
        <v>0</v>
      </c>
      <c r="FN63" s="3">
        <f t="shared" si="28"/>
        <v>0</v>
      </c>
      <c r="FO63" s="3">
        <f t="shared" si="28"/>
        <v>0</v>
      </c>
      <c r="FP63" s="3">
        <f t="shared" si="28"/>
        <v>0</v>
      </c>
      <c r="FQ63" s="3">
        <f t="shared" si="28"/>
        <v>0</v>
      </c>
      <c r="FR63" s="3">
        <f t="shared" si="28"/>
        <v>0</v>
      </c>
      <c r="FS63" s="3">
        <f t="shared" ref="FS63:GX63" si="29">FS68</f>
        <v>0</v>
      </c>
      <c r="FT63" s="3">
        <f t="shared" si="29"/>
        <v>0</v>
      </c>
      <c r="FU63" s="3">
        <f t="shared" si="29"/>
        <v>0</v>
      </c>
      <c r="FV63" s="3">
        <f t="shared" si="29"/>
        <v>0</v>
      </c>
      <c r="FW63" s="3">
        <f t="shared" si="29"/>
        <v>0</v>
      </c>
      <c r="FX63" s="3">
        <f t="shared" si="29"/>
        <v>0</v>
      </c>
      <c r="FY63" s="3">
        <f t="shared" si="29"/>
        <v>0</v>
      </c>
      <c r="FZ63" s="3">
        <f t="shared" si="29"/>
        <v>0</v>
      </c>
      <c r="GA63" s="3">
        <f t="shared" si="29"/>
        <v>0</v>
      </c>
      <c r="GB63" s="3">
        <f t="shared" si="29"/>
        <v>0</v>
      </c>
      <c r="GC63" s="3">
        <f t="shared" si="29"/>
        <v>0</v>
      </c>
      <c r="GD63" s="3">
        <f t="shared" si="29"/>
        <v>0</v>
      </c>
      <c r="GE63" s="3">
        <f t="shared" si="29"/>
        <v>0</v>
      </c>
      <c r="GF63" s="3">
        <f t="shared" si="29"/>
        <v>0</v>
      </c>
      <c r="GG63" s="3">
        <f t="shared" si="29"/>
        <v>0</v>
      </c>
      <c r="GH63" s="3">
        <f t="shared" si="29"/>
        <v>0</v>
      </c>
      <c r="GI63" s="3">
        <f t="shared" si="29"/>
        <v>0</v>
      </c>
      <c r="GJ63" s="3">
        <f t="shared" si="29"/>
        <v>0</v>
      </c>
      <c r="GK63" s="3">
        <f t="shared" si="29"/>
        <v>0</v>
      </c>
      <c r="GL63" s="3">
        <f t="shared" si="29"/>
        <v>0</v>
      </c>
      <c r="GM63" s="3">
        <f t="shared" si="29"/>
        <v>0</v>
      </c>
      <c r="GN63" s="3">
        <f t="shared" si="29"/>
        <v>0</v>
      </c>
      <c r="GO63" s="3">
        <f t="shared" si="29"/>
        <v>0</v>
      </c>
      <c r="GP63" s="3">
        <f t="shared" si="29"/>
        <v>0</v>
      </c>
      <c r="GQ63" s="3">
        <f t="shared" si="29"/>
        <v>0</v>
      </c>
      <c r="GR63" s="3">
        <f t="shared" si="29"/>
        <v>0</v>
      </c>
      <c r="GS63" s="3">
        <f t="shared" si="29"/>
        <v>0</v>
      </c>
      <c r="GT63" s="3">
        <f t="shared" si="29"/>
        <v>0</v>
      </c>
      <c r="GU63" s="3">
        <f t="shared" si="29"/>
        <v>0</v>
      </c>
      <c r="GV63" s="3">
        <f t="shared" si="29"/>
        <v>0</v>
      </c>
      <c r="GW63" s="3">
        <f t="shared" si="29"/>
        <v>0</v>
      </c>
      <c r="GX63" s="3">
        <f t="shared" si="29"/>
        <v>0</v>
      </c>
    </row>
    <row r="65" spans="1:245" x14ac:dyDescent="0.2">
      <c r="A65">
        <v>17</v>
      </c>
      <c r="B65">
        <v>1</v>
      </c>
      <c r="C65">
        <f>ROW(SmtRes!A27)</f>
        <v>27</v>
      </c>
      <c r="D65">
        <f>ROW(EtalonRes!A28)</f>
        <v>28</v>
      </c>
      <c r="E65" t="s">
        <v>93</v>
      </c>
      <c r="F65" t="s">
        <v>21</v>
      </c>
      <c r="G65" t="s">
        <v>94</v>
      </c>
      <c r="H65" t="s">
        <v>23</v>
      </c>
      <c r="I65">
        <v>2</v>
      </c>
      <c r="J65">
        <v>0</v>
      </c>
      <c r="K65">
        <v>2</v>
      </c>
      <c r="O65">
        <f>ROUND(CP65,2)</f>
        <v>26209.29</v>
      </c>
      <c r="P65">
        <f>SUMIF(SmtRes!AQ21:'SmtRes'!AQ27,"=1",SmtRes!DF21:'SmtRes'!DF27)</f>
        <v>351.03</v>
      </c>
      <c r="Q65">
        <f>SUMIF(SmtRes!AQ21:'SmtRes'!AQ27,"=1",SmtRes!DG21:'SmtRes'!DG27)</f>
        <v>4057.08</v>
      </c>
      <c r="R65">
        <f>SUMIF(SmtRes!AQ21:'SmtRes'!AQ27,"=1",SmtRes!DH21:'SmtRes'!DH27)</f>
        <v>2039.92</v>
      </c>
      <c r="S65">
        <f>SUMIF(SmtRes!AQ21:'SmtRes'!AQ27,"=1",SmtRes!DI21:'SmtRes'!DI27)</f>
        <v>19761.259999999998</v>
      </c>
      <c r="T65">
        <f>ROUND(CU65*I65,2)</f>
        <v>0</v>
      </c>
      <c r="U65">
        <f>SUMIF(SmtRes!AQ21:'SmtRes'!AQ27,"=1",SmtRes!CV21:'SmtRes'!CV27)</f>
        <v>45.4</v>
      </c>
      <c r="V65">
        <f>SUMIF(SmtRes!AQ21:'SmtRes'!AQ27,"=1",SmtRes!CW21:'SmtRes'!CW27)</f>
        <v>4</v>
      </c>
      <c r="W65">
        <f>ROUND(CX65*I65,2)</f>
        <v>0</v>
      </c>
      <c r="X65">
        <f>ROUND(CY65,2)</f>
        <v>21147.14</v>
      </c>
      <c r="Y65">
        <f>ROUND(CZ65,2)</f>
        <v>11118.6</v>
      </c>
      <c r="AA65">
        <v>61625010</v>
      </c>
      <c r="AB65">
        <f>ROUND((AC65+AD65+AF65),6)</f>
        <v>11986.11405</v>
      </c>
      <c r="AC65">
        <f>ROUND((SUM(SmtRes!BQ21:'SmtRes'!BQ27)),6)</f>
        <v>167.74504999999999</v>
      </c>
      <c r="AD65">
        <f>ROUND((((SUM(SmtRes!BR21:'SmtRes'!BR27))-(SUM(SmtRes!BS21:'SmtRes'!BS27)))+AE65),6)</f>
        <v>1937.74</v>
      </c>
      <c r="AE65">
        <f>ROUND((SUM(SmtRes!BS21:'SmtRes'!BS27)),6)</f>
        <v>1019.96</v>
      </c>
      <c r="AF65">
        <f>ROUND((SUM(SmtRes!BT21:'SmtRes'!BT27)),6)</f>
        <v>9880.6290000000008</v>
      </c>
      <c r="AG65">
        <f>ROUND((AP65),6)</f>
        <v>0</v>
      </c>
      <c r="AH65">
        <f>(SUM(SmtRes!BU21:'SmtRes'!BU27))</f>
        <v>22.7</v>
      </c>
      <c r="AI65">
        <f>(SUM(SmtRes!BV21:'SmtRes'!BV27))</f>
        <v>2</v>
      </c>
      <c r="AJ65">
        <f>(AS65)</f>
        <v>0</v>
      </c>
      <c r="AK65">
        <v>13006.074049999999</v>
      </c>
      <c r="AL65">
        <v>167.74504999999999</v>
      </c>
      <c r="AM65">
        <v>1937.74</v>
      </c>
      <c r="AN65">
        <v>1019.96</v>
      </c>
      <c r="AO65">
        <v>9880.628999999999</v>
      </c>
      <c r="AP65">
        <v>0</v>
      </c>
      <c r="AQ65">
        <v>22.7</v>
      </c>
      <c r="AR65">
        <v>2</v>
      </c>
      <c r="AS65">
        <v>0</v>
      </c>
      <c r="AT65">
        <v>97</v>
      </c>
      <c r="AU65">
        <v>51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2</v>
      </c>
      <c r="BJ65" t="s">
        <v>24</v>
      </c>
      <c r="BM65">
        <v>108001</v>
      </c>
      <c r="BN65">
        <v>0</v>
      </c>
      <c r="BO65" t="s">
        <v>3</v>
      </c>
      <c r="BP65">
        <v>0</v>
      </c>
      <c r="BQ65">
        <v>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97</v>
      </c>
      <c r="CA65">
        <v>51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>(P65+Q65+S65+R65)</f>
        <v>26209.29</v>
      </c>
      <c r="CQ65">
        <f>SUMIF(SmtRes!AQ21:'SmtRes'!AQ27,"=1",SmtRes!AA21:'SmtRes'!AA27)</f>
        <v>62875.11</v>
      </c>
      <c r="CR65">
        <f>SUMIF(SmtRes!AQ21:'SmtRes'!AQ27,"=1",SmtRes!AB21:'SmtRes'!AB27)</f>
        <v>2028.54</v>
      </c>
      <c r="CS65">
        <f>SUMIF(SmtRes!AQ21:'SmtRes'!AQ27,"=1",SmtRes!AC21:'SmtRes'!AC27)</f>
        <v>1019.96</v>
      </c>
      <c r="CT65">
        <f>SUMIF(SmtRes!AQ21:'SmtRes'!AQ27,"=1",SmtRes!AD21:'SmtRes'!AD27)</f>
        <v>435.27</v>
      </c>
      <c r="CU65">
        <f>AG65</f>
        <v>0</v>
      </c>
      <c r="CV65">
        <f>SUMIF(SmtRes!AQ21:'SmtRes'!AQ27,"=1",SmtRes!BU21:'SmtRes'!BU27)</f>
        <v>22.7</v>
      </c>
      <c r="CW65">
        <f>SUMIF(SmtRes!AQ21:'SmtRes'!AQ27,"=1",SmtRes!BV21:'SmtRes'!BV27)</f>
        <v>2</v>
      </c>
      <c r="CX65">
        <f>AJ65</f>
        <v>0</v>
      </c>
      <c r="CY65">
        <f>(((S65+R65)*AT65)/100)</f>
        <v>21147.1446</v>
      </c>
      <c r="CZ65">
        <f>(((S65+R65)*AU65)/100)</f>
        <v>11118.601799999999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23</v>
      </c>
      <c r="DW65" t="s">
        <v>23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60393196</v>
      </c>
      <c r="EF65">
        <v>3</v>
      </c>
      <c r="EG65" t="s">
        <v>28</v>
      </c>
      <c r="EH65">
        <v>0</v>
      </c>
      <c r="EI65" t="s">
        <v>3</v>
      </c>
      <c r="EJ65">
        <v>2</v>
      </c>
      <c r="EK65">
        <v>108001</v>
      </c>
      <c r="EL65" t="s">
        <v>29</v>
      </c>
      <c r="EM65" t="s">
        <v>30</v>
      </c>
      <c r="EO65" t="s">
        <v>3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22.7</v>
      </c>
      <c r="EX65">
        <v>2</v>
      </c>
      <c r="EY65">
        <v>0</v>
      </c>
      <c r="FQ65">
        <v>0</v>
      </c>
      <c r="FR65">
        <f>ROUND(IF(BI65=3,GM65,0),2)</f>
        <v>0</v>
      </c>
      <c r="FS65">
        <v>0</v>
      </c>
      <c r="FX65">
        <v>97</v>
      </c>
      <c r="FY65">
        <v>51</v>
      </c>
      <c r="GA65" t="s">
        <v>3</v>
      </c>
      <c r="GD65">
        <v>1</v>
      </c>
      <c r="GF65">
        <v>-1604357620</v>
      </c>
      <c r="GG65">
        <v>2</v>
      </c>
      <c r="GH65">
        <v>1</v>
      </c>
      <c r="GI65">
        <v>-2</v>
      </c>
      <c r="GJ65">
        <v>0</v>
      </c>
      <c r="GK65">
        <v>0</v>
      </c>
      <c r="GL65">
        <f>ROUND(IF(AND(BH65=3,BI65=3,FS65&lt;&gt;0),P65,0),2)</f>
        <v>0</v>
      </c>
      <c r="GM65">
        <f>ROUND(O65+X65+Y65,2)+GX65</f>
        <v>58475.03</v>
      </c>
      <c r="GN65">
        <f>IF(OR(BI65=0,BI65=1),GM65-GX65,0)</f>
        <v>0</v>
      </c>
      <c r="GO65">
        <f>IF(BI65=2,GM65-GX65,0)</f>
        <v>58475.03</v>
      </c>
      <c r="GP65">
        <f>IF(BI65=4,GM65-GX65,0)</f>
        <v>0</v>
      </c>
      <c r="GR65">
        <v>0</v>
      </c>
      <c r="GS65">
        <v>0</v>
      </c>
      <c r="GT65">
        <v>0</v>
      </c>
      <c r="GU65" t="s">
        <v>3</v>
      </c>
      <c r="GV65">
        <f>ROUND((GT65),6)</f>
        <v>0</v>
      </c>
      <c r="GW65">
        <v>1</v>
      </c>
      <c r="GX65">
        <f>ROUND(HC65*I65,2)</f>
        <v>0</v>
      </c>
      <c r="HA65">
        <v>0</v>
      </c>
      <c r="HB65">
        <v>0</v>
      </c>
      <c r="HC65">
        <f>GV65*GW65</f>
        <v>0</v>
      </c>
      <c r="HE65" t="s">
        <v>3</v>
      </c>
      <c r="HF65" t="s">
        <v>3</v>
      </c>
      <c r="HM65" t="s">
        <v>3</v>
      </c>
      <c r="HN65" t="s">
        <v>32</v>
      </c>
      <c r="HO65" t="s">
        <v>33</v>
      </c>
      <c r="HP65" t="s">
        <v>29</v>
      </c>
      <c r="HQ65" t="s">
        <v>29</v>
      </c>
      <c r="IK65">
        <v>0</v>
      </c>
    </row>
    <row r="66" spans="1:245" x14ac:dyDescent="0.2">
      <c r="A66">
        <v>17</v>
      </c>
      <c r="B66">
        <v>1</v>
      </c>
      <c r="C66">
        <f>ROW(SmtRes!A39)</f>
        <v>39</v>
      </c>
      <c r="D66">
        <f>ROW(EtalonRes!A40)</f>
        <v>40</v>
      </c>
      <c r="E66" t="s">
        <v>95</v>
      </c>
      <c r="F66" t="s">
        <v>35</v>
      </c>
      <c r="G66" t="s">
        <v>36</v>
      </c>
      <c r="H66" t="s">
        <v>37</v>
      </c>
      <c r="I66">
        <f>ROUND(4.8/100,7)</f>
        <v>4.8000000000000001E-2</v>
      </c>
      <c r="J66">
        <v>0</v>
      </c>
      <c r="K66">
        <f>ROUND(4.8/100,7)</f>
        <v>4.8000000000000001E-2</v>
      </c>
      <c r="O66">
        <f>ROUND(CP66,2)</f>
        <v>1246.57</v>
      </c>
      <c r="P66">
        <f>SUMIF(SmtRes!AQ28:'SmtRes'!AQ39,"=1",SmtRes!DF28:'SmtRes'!DF39)</f>
        <v>21.42</v>
      </c>
      <c r="Q66">
        <f>SUMIF(SmtRes!AQ28:'SmtRes'!AQ39,"=1",SmtRes!DG28:'SmtRes'!DG39)</f>
        <v>36.369999999999997</v>
      </c>
      <c r="R66">
        <f>SUMIF(SmtRes!AQ28:'SmtRes'!AQ39,"=1",SmtRes!DH28:'SmtRes'!DH39)</f>
        <v>133.69</v>
      </c>
      <c r="S66">
        <f>SUMIF(SmtRes!AQ28:'SmtRes'!AQ39,"=1",SmtRes!DI28:'SmtRes'!DI39)</f>
        <v>1055.0899999999999</v>
      </c>
      <c r="T66">
        <f>ROUND(CU66*I66,2)</f>
        <v>0</v>
      </c>
      <c r="U66">
        <f>SUMIF(SmtRes!AQ28:'SmtRes'!AQ39,"=1",SmtRes!CV28:'SmtRes'!CV39)</f>
        <v>2.4239999999999999</v>
      </c>
      <c r="V66">
        <f>SUMIF(SmtRes!AQ28:'SmtRes'!AQ39,"=1",SmtRes!CW28:'SmtRes'!CW39)</f>
        <v>0.30384</v>
      </c>
      <c r="W66">
        <f>ROUND(CX66*I66,2)</f>
        <v>0</v>
      </c>
      <c r="X66">
        <f>ROUND(CY66,2)</f>
        <v>1153.1199999999999</v>
      </c>
      <c r="Y66">
        <f>ROUND(CZ66,2)</f>
        <v>606.28</v>
      </c>
      <c r="AA66">
        <v>61625010</v>
      </c>
      <c r="AB66">
        <f>ROUND((AC66+AD66+AF66),6)</f>
        <v>23153.132743999999</v>
      </c>
      <c r="AC66">
        <f>ROUND((SUM(SmtRes!BQ28:'SmtRes'!BQ39)),6)</f>
        <v>464.137944</v>
      </c>
      <c r="AD66">
        <f>ROUND((((SUM(SmtRes!BR28:'SmtRes'!BR39))-(SUM(SmtRes!BS28:'SmtRes'!BS39)))+AE66),6)</f>
        <v>707.85979999999995</v>
      </c>
      <c r="AE66">
        <f>ROUND((SUM(SmtRes!BS28:'SmtRes'!BS39)),6)</f>
        <v>2785.1430999999998</v>
      </c>
      <c r="AF66">
        <f>ROUND((SUM(SmtRes!BT28:'SmtRes'!BT39)),6)</f>
        <v>21981.134999999998</v>
      </c>
      <c r="AG66">
        <f>ROUND((AP66),6)</f>
        <v>0</v>
      </c>
      <c r="AH66">
        <f>(SUM(SmtRes!BU28:'SmtRes'!BU39))</f>
        <v>50.5</v>
      </c>
      <c r="AI66">
        <f>(SUM(SmtRes!BV28:'SmtRes'!BV39))</f>
        <v>6.33</v>
      </c>
      <c r="AJ66">
        <f>(AS66)</f>
        <v>0</v>
      </c>
      <c r="AK66">
        <v>25938.2758435</v>
      </c>
      <c r="AL66">
        <v>464.13794350000001</v>
      </c>
      <c r="AM66">
        <v>707.85979999999995</v>
      </c>
      <c r="AN66">
        <v>2785.1430999999998</v>
      </c>
      <c r="AO66">
        <v>21981.134999999998</v>
      </c>
      <c r="AP66">
        <v>0</v>
      </c>
      <c r="AQ66">
        <v>50.5</v>
      </c>
      <c r="AR66">
        <v>6.33</v>
      </c>
      <c r="AS66">
        <v>0</v>
      </c>
      <c r="AT66">
        <v>97</v>
      </c>
      <c r="AU66">
        <v>51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2</v>
      </c>
      <c r="BJ66" t="s">
        <v>38</v>
      </c>
      <c r="BM66">
        <v>108001</v>
      </c>
      <c r="BN66">
        <v>0</v>
      </c>
      <c r="BO66" t="s">
        <v>3</v>
      </c>
      <c r="BP66">
        <v>0</v>
      </c>
      <c r="BQ66">
        <v>3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97</v>
      </c>
      <c r="CA66">
        <v>51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>(P66+Q66+S66+R66)</f>
        <v>1246.57</v>
      </c>
      <c r="CQ66">
        <f>SUMIF(SmtRes!AQ28:'SmtRes'!AQ39,"=1",SmtRes!AA28:'SmtRes'!AA39)</f>
        <v>1151507.42</v>
      </c>
      <c r="CR66">
        <f>SUMIF(SmtRes!AQ28:'SmtRes'!AQ39,"=1",SmtRes!AB28:'SmtRes'!AB39)</f>
        <v>2086.5100000000002</v>
      </c>
      <c r="CS66">
        <f>SUMIF(SmtRes!AQ28:'SmtRes'!AQ39,"=1",SmtRes!AC28:'SmtRes'!AC39)</f>
        <v>1455.23</v>
      </c>
      <c r="CT66">
        <f>SUMIF(SmtRes!AQ28:'SmtRes'!AQ39,"=1",SmtRes!AD28:'SmtRes'!AD39)</f>
        <v>435.27</v>
      </c>
      <c r="CU66">
        <f>AG66</f>
        <v>0</v>
      </c>
      <c r="CV66">
        <f>SUMIF(SmtRes!AQ28:'SmtRes'!AQ39,"=1",SmtRes!BU28:'SmtRes'!BU39)</f>
        <v>50.5</v>
      </c>
      <c r="CW66">
        <f>SUMIF(SmtRes!AQ28:'SmtRes'!AQ39,"=1",SmtRes!BV28:'SmtRes'!BV39)</f>
        <v>6.33</v>
      </c>
      <c r="CX66">
        <f>AJ66</f>
        <v>0</v>
      </c>
      <c r="CY66">
        <f>(((S66+R66)*AT66)/100)</f>
        <v>1153.1166000000001</v>
      </c>
      <c r="CZ66">
        <f>(((S66+R66)*AU66)/100)</f>
        <v>606.27779999999996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1003</v>
      </c>
      <c r="DV66" t="s">
        <v>37</v>
      </c>
      <c r="DW66" t="s">
        <v>37</v>
      </c>
      <c r="DX66">
        <v>100</v>
      </c>
      <c r="DZ66" t="s">
        <v>3</v>
      </c>
      <c r="EA66" t="s">
        <v>3</v>
      </c>
      <c r="EB66" t="s">
        <v>3</v>
      </c>
      <c r="EC66" t="s">
        <v>3</v>
      </c>
      <c r="EE66">
        <v>60393196</v>
      </c>
      <c r="EF66">
        <v>3</v>
      </c>
      <c r="EG66" t="s">
        <v>28</v>
      </c>
      <c r="EH66">
        <v>0</v>
      </c>
      <c r="EI66" t="s">
        <v>3</v>
      </c>
      <c r="EJ66">
        <v>2</v>
      </c>
      <c r="EK66">
        <v>108001</v>
      </c>
      <c r="EL66" t="s">
        <v>29</v>
      </c>
      <c r="EM66" t="s">
        <v>30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50.5</v>
      </c>
      <c r="EX66">
        <v>6.33</v>
      </c>
      <c r="EY66">
        <v>0</v>
      </c>
      <c r="FQ66">
        <v>0</v>
      </c>
      <c r="FR66">
        <f>ROUND(IF(BI66=3,GM66,0),2)</f>
        <v>0</v>
      </c>
      <c r="FS66">
        <v>0</v>
      </c>
      <c r="FX66">
        <v>97</v>
      </c>
      <c r="FY66">
        <v>51</v>
      </c>
      <c r="GA66" t="s">
        <v>3</v>
      </c>
      <c r="GD66">
        <v>1</v>
      </c>
      <c r="GF66">
        <v>1107708658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>ROUND(IF(AND(BH66=3,BI66=3,FS66&lt;&gt;0),P66,0),2)</f>
        <v>0</v>
      </c>
      <c r="GM66">
        <f>ROUND(O66+X66+Y66,2)+GX66</f>
        <v>3005.97</v>
      </c>
      <c r="GN66">
        <f>IF(OR(BI66=0,BI66=1),GM66-GX66,0)</f>
        <v>0</v>
      </c>
      <c r="GO66">
        <f>IF(BI66=2,GM66-GX66,0)</f>
        <v>3005.97</v>
      </c>
      <c r="GP66">
        <f>IF(BI66=4,GM66-GX66,0)</f>
        <v>0</v>
      </c>
      <c r="GR66">
        <v>0</v>
      </c>
      <c r="GS66">
        <v>3</v>
      </c>
      <c r="GT66">
        <v>0</v>
      </c>
      <c r="GU66" t="s">
        <v>3</v>
      </c>
      <c r="GV66">
        <f>ROUND((GT66),6)</f>
        <v>0</v>
      </c>
      <c r="GW66">
        <v>1</v>
      </c>
      <c r="GX66">
        <f>ROUND(HC66*I66,2)</f>
        <v>0</v>
      </c>
      <c r="HA66">
        <v>0</v>
      </c>
      <c r="HB66">
        <v>0</v>
      </c>
      <c r="HC66">
        <f>GV66*GW66</f>
        <v>0</v>
      </c>
      <c r="HE66" t="s">
        <v>3</v>
      </c>
      <c r="HF66" t="s">
        <v>3</v>
      </c>
      <c r="HM66" t="s">
        <v>3</v>
      </c>
      <c r="HN66" t="s">
        <v>32</v>
      </c>
      <c r="HO66" t="s">
        <v>33</v>
      </c>
      <c r="HP66" t="s">
        <v>29</v>
      </c>
      <c r="HQ66" t="s">
        <v>29</v>
      </c>
      <c r="IK66">
        <v>0</v>
      </c>
    </row>
    <row r="68" spans="1:245" x14ac:dyDescent="0.2">
      <c r="A68" s="2">
        <v>51</v>
      </c>
      <c r="B68" s="2">
        <f>B61</f>
        <v>1</v>
      </c>
      <c r="C68" s="2">
        <f>A61</f>
        <v>4</v>
      </c>
      <c r="D68" s="2">
        <f>ROW(A61)</f>
        <v>61</v>
      </c>
      <c r="E68" s="2"/>
      <c r="F68" s="2" t="str">
        <f>IF(F61&lt;&gt;"",F61,"")</f>
        <v>Новый раздел</v>
      </c>
      <c r="G68" s="2" t="str">
        <f>IF(G61&lt;&gt;"",G61,"")</f>
        <v>Монтажные работы</v>
      </c>
      <c r="H68" s="2">
        <v>0</v>
      </c>
      <c r="I68" s="2"/>
      <c r="J68" s="2"/>
      <c r="K68" s="2"/>
      <c r="L68" s="2"/>
      <c r="M68" s="2"/>
      <c r="N68" s="2"/>
      <c r="O68" s="2">
        <f t="shared" ref="O68:T68" si="30">ROUND(AB68,2)</f>
        <v>27455.86</v>
      </c>
      <c r="P68" s="2">
        <f t="shared" si="30"/>
        <v>372.45</v>
      </c>
      <c r="Q68" s="2">
        <f t="shared" si="30"/>
        <v>4093.45</v>
      </c>
      <c r="R68" s="2">
        <f t="shared" si="30"/>
        <v>2173.61</v>
      </c>
      <c r="S68" s="2">
        <f t="shared" si="30"/>
        <v>20816.349999999999</v>
      </c>
      <c r="T68" s="2">
        <f t="shared" si="30"/>
        <v>0</v>
      </c>
      <c r="U68" s="2">
        <f>AH68</f>
        <v>47.823999999999998</v>
      </c>
      <c r="V68" s="2">
        <f>AI68</f>
        <v>4.3038400000000001</v>
      </c>
      <c r="W68" s="2">
        <f>ROUND(AJ68,2)</f>
        <v>0</v>
      </c>
      <c r="X68" s="2">
        <f>ROUND(AK68,2)</f>
        <v>22300.26</v>
      </c>
      <c r="Y68" s="2">
        <f>ROUND(AL68,2)</f>
        <v>11724.88</v>
      </c>
      <c r="Z68" s="2"/>
      <c r="AA68" s="2"/>
      <c r="AB68" s="2">
        <f>ROUND(SUMIF(AA65:AA66,"=61625010",O65:O66),2)</f>
        <v>27455.86</v>
      </c>
      <c r="AC68" s="2">
        <f>ROUND(SUMIF(AA65:AA66,"=61625010",P65:P66),2)</f>
        <v>372.45</v>
      </c>
      <c r="AD68" s="2">
        <f>ROUND(SUMIF(AA65:AA66,"=61625010",Q65:Q66),2)</f>
        <v>4093.45</v>
      </c>
      <c r="AE68" s="2">
        <f>ROUND(SUMIF(AA65:AA66,"=61625010",R65:R66),2)</f>
        <v>2173.61</v>
      </c>
      <c r="AF68" s="2">
        <f>ROUND(SUMIF(AA65:AA66,"=61625010",S65:S66),2)</f>
        <v>20816.349999999999</v>
      </c>
      <c r="AG68" s="2">
        <f>ROUND(SUMIF(AA65:AA66,"=61625010",T65:T66),2)</f>
        <v>0</v>
      </c>
      <c r="AH68" s="2">
        <f>SUMIF(AA65:AA66,"=61625010",U65:U66)</f>
        <v>47.823999999999998</v>
      </c>
      <c r="AI68" s="2">
        <f>SUMIF(AA65:AA66,"=61625010",V65:V66)</f>
        <v>4.3038400000000001</v>
      </c>
      <c r="AJ68" s="2">
        <f>ROUND(SUMIF(AA65:AA66,"=61625010",W65:W66),2)</f>
        <v>0</v>
      </c>
      <c r="AK68" s="2">
        <f>ROUND(SUMIF(AA65:AA66,"=61625010",X65:X66),2)</f>
        <v>22300.26</v>
      </c>
      <c r="AL68" s="2">
        <f>ROUND(SUMIF(AA65:AA66,"=61625010",Y65:Y66),2)</f>
        <v>11724.88</v>
      </c>
      <c r="AM68" s="2"/>
      <c r="AN68" s="2"/>
      <c r="AO68" s="2">
        <f t="shared" ref="AO68:BD68" si="31">ROUND(BX68,2)</f>
        <v>0</v>
      </c>
      <c r="AP68" s="2">
        <f t="shared" si="31"/>
        <v>0</v>
      </c>
      <c r="AQ68" s="2">
        <f t="shared" si="31"/>
        <v>0</v>
      </c>
      <c r="AR68" s="2">
        <f t="shared" si="31"/>
        <v>61481</v>
      </c>
      <c r="AS68" s="2">
        <f t="shared" si="31"/>
        <v>0</v>
      </c>
      <c r="AT68" s="2">
        <f t="shared" si="31"/>
        <v>61481</v>
      </c>
      <c r="AU68" s="2">
        <f t="shared" si="31"/>
        <v>0</v>
      </c>
      <c r="AV68" s="2">
        <f t="shared" si="31"/>
        <v>372.45</v>
      </c>
      <c r="AW68" s="2">
        <f t="shared" si="31"/>
        <v>372.45</v>
      </c>
      <c r="AX68" s="2">
        <f t="shared" si="31"/>
        <v>0</v>
      </c>
      <c r="AY68" s="2">
        <f t="shared" si="31"/>
        <v>372.45</v>
      </c>
      <c r="AZ68" s="2">
        <f t="shared" si="31"/>
        <v>0</v>
      </c>
      <c r="BA68" s="2">
        <f t="shared" si="31"/>
        <v>0</v>
      </c>
      <c r="BB68" s="2">
        <f t="shared" si="31"/>
        <v>0</v>
      </c>
      <c r="BC68" s="2">
        <f t="shared" si="31"/>
        <v>0</v>
      </c>
      <c r="BD68" s="2">
        <f t="shared" si="31"/>
        <v>0</v>
      </c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>
        <f>ROUND(SUMIF(AA65:AA66,"=61625010",FQ65:FQ66),2)</f>
        <v>0</v>
      </c>
      <c r="BY68" s="2">
        <f>ROUND(SUMIF(AA65:AA66,"=61625010",FR65:FR66),2)</f>
        <v>0</v>
      </c>
      <c r="BZ68" s="2">
        <f>ROUND(SUMIF(AA65:AA66,"=61625010",GL65:GL66),2)</f>
        <v>0</v>
      </c>
      <c r="CA68" s="2">
        <f>ROUND(SUMIF(AA65:AA66,"=61625010",GM65:GM66),2)</f>
        <v>61481</v>
      </c>
      <c r="CB68" s="2">
        <f>ROUND(SUMIF(AA65:AA66,"=61625010",GN65:GN66),2)</f>
        <v>0</v>
      </c>
      <c r="CC68" s="2">
        <f>ROUND(SUMIF(AA65:AA66,"=61625010",GO65:GO66),2)</f>
        <v>61481</v>
      </c>
      <c r="CD68" s="2">
        <f>ROUND(SUMIF(AA65:AA66,"=61625010",GP65:GP66),2)</f>
        <v>0</v>
      </c>
      <c r="CE68" s="2">
        <f>AC68-BX68</f>
        <v>372.45</v>
      </c>
      <c r="CF68" s="2">
        <f>AC68-BY68</f>
        <v>372.45</v>
      </c>
      <c r="CG68" s="2">
        <f>BX68-BZ68</f>
        <v>0</v>
      </c>
      <c r="CH68" s="2">
        <f>AC68-BX68-BY68+BZ68</f>
        <v>372.45</v>
      </c>
      <c r="CI68" s="2">
        <f>BY68-BZ68</f>
        <v>0</v>
      </c>
      <c r="CJ68" s="2">
        <f>ROUND(SUMIF(AA65:AA66,"=61625010",GX65:GX66),2)</f>
        <v>0</v>
      </c>
      <c r="CK68" s="2">
        <f>ROUND(SUMIF(AA65:AA66,"=61625010",GY65:GY66),2)</f>
        <v>0</v>
      </c>
      <c r="CL68" s="2">
        <f>ROUND(SUMIF(AA65:AA66,"=61625010",GZ65:GZ66),2)</f>
        <v>0</v>
      </c>
      <c r="CM68" s="2">
        <f>ROUND(SUMIF(AA65:AA66,"=61625010",HD65:HD66),2)</f>
        <v>0</v>
      </c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>
        <v>0</v>
      </c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201</v>
      </c>
      <c r="F70" s="4">
        <f>ROUND(Source!O68,O70)</f>
        <v>27455.86</v>
      </c>
      <c r="G70" s="4" t="s">
        <v>39</v>
      </c>
      <c r="H70" s="4" t="s">
        <v>40</v>
      </c>
      <c r="I70" s="4"/>
      <c r="J70" s="4"/>
      <c r="K70" s="4">
        <v>201</v>
      </c>
      <c r="L70" s="4">
        <v>1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27455.86</v>
      </c>
      <c r="X70" s="4">
        <v>1</v>
      </c>
      <c r="Y70" s="4">
        <v>27455.86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202</v>
      </c>
      <c r="F71" s="4">
        <f>ROUND(Source!P68,O71)</f>
        <v>372.45</v>
      </c>
      <c r="G71" s="4" t="s">
        <v>41</v>
      </c>
      <c r="H71" s="4" t="s">
        <v>42</v>
      </c>
      <c r="I71" s="4"/>
      <c r="J71" s="4"/>
      <c r="K71" s="4">
        <v>202</v>
      </c>
      <c r="L71" s="4">
        <v>2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372.45</v>
      </c>
      <c r="X71" s="4">
        <v>1</v>
      </c>
      <c r="Y71" s="4">
        <v>372.45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222</v>
      </c>
      <c r="F72" s="4">
        <f>ROUND(Source!AO68,O72)</f>
        <v>0</v>
      </c>
      <c r="G72" s="4" t="s">
        <v>43</v>
      </c>
      <c r="H72" s="4" t="s">
        <v>44</v>
      </c>
      <c r="I72" s="4"/>
      <c r="J72" s="4"/>
      <c r="K72" s="4">
        <v>222</v>
      </c>
      <c r="L72" s="4">
        <v>3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225</v>
      </c>
      <c r="F73" s="4">
        <f>ROUND(Source!AV68,O73)</f>
        <v>372.45</v>
      </c>
      <c r="G73" s="4" t="s">
        <v>45</v>
      </c>
      <c r="H73" s="4" t="s">
        <v>46</v>
      </c>
      <c r="I73" s="4"/>
      <c r="J73" s="4"/>
      <c r="K73" s="4">
        <v>225</v>
      </c>
      <c r="L73" s="4">
        <v>4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372.45</v>
      </c>
      <c r="X73" s="4">
        <v>1</v>
      </c>
      <c r="Y73" s="4">
        <v>372.45</v>
      </c>
      <c r="Z73" s="4"/>
      <c r="AA73" s="4"/>
      <c r="AB73" s="4"/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226</v>
      </c>
      <c r="F74" s="4">
        <f>ROUND(Source!AW68,O74)</f>
        <v>372.45</v>
      </c>
      <c r="G74" s="4" t="s">
        <v>47</v>
      </c>
      <c r="H74" s="4" t="s">
        <v>48</v>
      </c>
      <c r="I74" s="4"/>
      <c r="J74" s="4"/>
      <c r="K74" s="4">
        <v>226</v>
      </c>
      <c r="L74" s="4">
        <v>5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372.45</v>
      </c>
      <c r="X74" s="4">
        <v>1</v>
      </c>
      <c r="Y74" s="4">
        <v>372.45</v>
      </c>
      <c r="Z74" s="4"/>
      <c r="AA74" s="4"/>
      <c r="AB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227</v>
      </c>
      <c r="F75" s="4">
        <f>ROUND(Source!AX68,O75)</f>
        <v>0</v>
      </c>
      <c r="G75" s="4" t="s">
        <v>49</v>
      </c>
      <c r="H75" s="4" t="s">
        <v>50</v>
      </c>
      <c r="I75" s="4"/>
      <c r="J75" s="4"/>
      <c r="K75" s="4">
        <v>227</v>
      </c>
      <c r="L75" s="4">
        <v>6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228</v>
      </c>
      <c r="F76" s="4">
        <f>ROUND(Source!AY68,O76)</f>
        <v>372.45</v>
      </c>
      <c r="G76" s="4" t="s">
        <v>51</v>
      </c>
      <c r="H76" s="4" t="s">
        <v>52</v>
      </c>
      <c r="I76" s="4"/>
      <c r="J76" s="4"/>
      <c r="K76" s="4">
        <v>228</v>
      </c>
      <c r="L76" s="4">
        <v>7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372.45</v>
      </c>
      <c r="X76" s="4">
        <v>1</v>
      </c>
      <c r="Y76" s="4">
        <v>372.45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216</v>
      </c>
      <c r="F77" s="4">
        <f>ROUND(Source!AP68,O77)</f>
        <v>0</v>
      </c>
      <c r="G77" s="4" t="s">
        <v>53</v>
      </c>
      <c r="H77" s="4" t="s">
        <v>54</v>
      </c>
      <c r="I77" s="4"/>
      <c r="J77" s="4"/>
      <c r="K77" s="4">
        <v>216</v>
      </c>
      <c r="L77" s="4">
        <v>8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223</v>
      </c>
      <c r="F78" s="4">
        <f>ROUND(Source!AQ68,O78)</f>
        <v>0</v>
      </c>
      <c r="G78" s="4" t="s">
        <v>55</v>
      </c>
      <c r="H78" s="4" t="s">
        <v>56</v>
      </c>
      <c r="I78" s="4"/>
      <c r="J78" s="4"/>
      <c r="K78" s="4">
        <v>223</v>
      </c>
      <c r="L78" s="4">
        <v>9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229</v>
      </c>
      <c r="F79" s="4">
        <f>ROUND(Source!AZ68,O79)</f>
        <v>0</v>
      </c>
      <c r="G79" s="4" t="s">
        <v>57</v>
      </c>
      <c r="H79" s="4" t="s">
        <v>58</v>
      </c>
      <c r="I79" s="4"/>
      <c r="J79" s="4"/>
      <c r="K79" s="4">
        <v>229</v>
      </c>
      <c r="L79" s="4">
        <v>10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203</v>
      </c>
      <c r="F80" s="4">
        <f>ROUND(Source!Q68,O80)</f>
        <v>4093.45</v>
      </c>
      <c r="G80" s="4" t="s">
        <v>59</v>
      </c>
      <c r="H80" s="4" t="s">
        <v>60</v>
      </c>
      <c r="I80" s="4"/>
      <c r="J80" s="4"/>
      <c r="K80" s="4">
        <v>203</v>
      </c>
      <c r="L80" s="4">
        <v>11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4093.45</v>
      </c>
      <c r="X80" s="4">
        <v>1</v>
      </c>
      <c r="Y80" s="4">
        <v>4093.45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231</v>
      </c>
      <c r="F81" s="4">
        <f>ROUND(Source!BB68,O81)</f>
        <v>0</v>
      </c>
      <c r="G81" s="4" t="s">
        <v>61</v>
      </c>
      <c r="H81" s="4" t="s">
        <v>62</v>
      </c>
      <c r="I81" s="4"/>
      <c r="J81" s="4"/>
      <c r="K81" s="4">
        <v>231</v>
      </c>
      <c r="L81" s="4">
        <v>12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204</v>
      </c>
      <c r="F82" s="4">
        <f>ROUND(Source!R68,O82)</f>
        <v>2173.61</v>
      </c>
      <c r="G82" s="4" t="s">
        <v>63</v>
      </c>
      <c r="H82" s="4" t="s">
        <v>64</v>
      </c>
      <c r="I82" s="4"/>
      <c r="J82" s="4"/>
      <c r="K82" s="4">
        <v>204</v>
      </c>
      <c r="L82" s="4">
        <v>13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2173.61</v>
      </c>
      <c r="X82" s="4">
        <v>1</v>
      </c>
      <c r="Y82" s="4">
        <v>2173.61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205</v>
      </c>
      <c r="F83" s="4">
        <f>ROUND(Source!S68,O83)</f>
        <v>20816.349999999999</v>
      </c>
      <c r="G83" s="4" t="s">
        <v>65</v>
      </c>
      <c r="H83" s="4" t="s">
        <v>66</v>
      </c>
      <c r="I83" s="4"/>
      <c r="J83" s="4"/>
      <c r="K83" s="4">
        <v>205</v>
      </c>
      <c r="L83" s="4">
        <v>14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20816.349999999999</v>
      </c>
      <c r="X83" s="4">
        <v>1</v>
      </c>
      <c r="Y83" s="4">
        <v>20816.349999999999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232</v>
      </c>
      <c r="F84" s="4">
        <f>ROUND(Source!BC68,O84)</f>
        <v>0</v>
      </c>
      <c r="G84" s="4" t="s">
        <v>67</v>
      </c>
      <c r="H84" s="4" t="s">
        <v>68</v>
      </c>
      <c r="I84" s="4"/>
      <c r="J84" s="4"/>
      <c r="K84" s="4">
        <v>232</v>
      </c>
      <c r="L84" s="4">
        <v>15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214</v>
      </c>
      <c r="F85" s="4">
        <f>ROUND(Source!AS68,O85)</f>
        <v>0</v>
      </c>
      <c r="G85" s="4" t="s">
        <v>69</v>
      </c>
      <c r="H85" s="4" t="s">
        <v>70</v>
      </c>
      <c r="I85" s="4"/>
      <c r="J85" s="4"/>
      <c r="K85" s="4">
        <v>214</v>
      </c>
      <c r="L85" s="4">
        <v>16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215</v>
      </c>
      <c r="F86" s="4">
        <f>ROUND(Source!AT68,O86)</f>
        <v>61481</v>
      </c>
      <c r="G86" s="4" t="s">
        <v>71</v>
      </c>
      <c r="H86" s="4" t="s">
        <v>72</v>
      </c>
      <c r="I86" s="4"/>
      <c r="J86" s="4"/>
      <c r="K86" s="4">
        <v>215</v>
      </c>
      <c r="L86" s="4">
        <v>17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61481</v>
      </c>
      <c r="X86" s="4">
        <v>1</v>
      </c>
      <c r="Y86" s="4">
        <v>61481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217</v>
      </c>
      <c r="F87" s="4">
        <f>ROUND(Source!AU68,O87)</f>
        <v>0</v>
      </c>
      <c r="G87" s="4" t="s">
        <v>73</v>
      </c>
      <c r="H87" s="4" t="s">
        <v>74</v>
      </c>
      <c r="I87" s="4"/>
      <c r="J87" s="4"/>
      <c r="K87" s="4">
        <v>217</v>
      </c>
      <c r="L87" s="4">
        <v>18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230</v>
      </c>
      <c r="F88" s="4">
        <f>ROUND(Source!BA68,O88)</f>
        <v>0</v>
      </c>
      <c r="G88" s="4" t="s">
        <v>75</v>
      </c>
      <c r="H88" s="4" t="s">
        <v>76</v>
      </c>
      <c r="I88" s="4"/>
      <c r="J88" s="4"/>
      <c r="K88" s="4">
        <v>230</v>
      </c>
      <c r="L88" s="4">
        <v>19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206</v>
      </c>
      <c r="F89" s="4">
        <f>ROUND(Source!T68,O89)</f>
        <v>0</v>
      </c>
      <c r="G89" s="4" t="s">
        <v>77</v>
      </c>
      <c r="H89" s="4" t="s">
        <v>78</v>
      </c>
      <c r="I89" s="4"/>
      <c r="J89" s="4"/>
      <c r="K89" s="4">
        <v>206</v>
      </c>
      <c r="L89" s="4">
        <v>20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207</v>
      </c>
      <c r="F90" s="4">
        <f>ROUND(Source!U68,O90)</f>
        <v>47.823999999999998</v>
      </c>
      <c r="G90" s="4" t="s">
        <v>79</v>
      </c>
      <c r="H90" s="4" t="s">
        <v>80</v>
      </c>
      <c r="I90" s="4"/>
      <c r="J90" s="4"/>
      <c r="K90" s="4">
        <v>207</v>
      </c>
      <c r="L90" s="4">
        <v>21</v>
      </c>
      <c r="M90" s="4">
        <v>3</v>
      </c>
      <c r="N90" s="4" t="s">
        <v>3</v>
      </c>
      <c r="O90" s="4">
        <v>7</v>
      </c>
      <c r="P90" s="4"/>
      <c r="Q90" s="4"/>
      <c r="R90" s="4"/>
      <c r="S90" s="4"/>
      <c r="T90" s="4"/>
      <c r="U90" s="4"/>
      <c r="V90" s="4"/>
      <c r="W90" s="4">
        <v>47.823999999999998</v>
      </c>
      <c r="X90" s="4">
        <v>1</v>
      </c>
      <c r="Y90" s="4">
        <v>47.823999999999998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208</v>
      </c>
      <c r="F91" s="4">
        <f>ROUND(Source!V68,O91)</f>
        <v>4.3038400000000001</v>
      </c>
      <c r="G91" s="4" t="s">
        <v>81</v>
      </c>
      <c r="H91" s="4" t="s">
        <v>82</v>
      </c>
      <c r="I91" s="4"/>
      <c r="J91" s="4"/>
      <c r="K91" s="4">
        <v>208</v>
      </c>
      <c r="L91" s="4">
        <v>22</v>
      </c>
      <c r="M91" s="4">
        <v>3</v>
      </c>
      <c r="N91" s="4" t="s">
        <v>3</v>
      </c>
      <c r="O91" s="4">
        <v>7</v>
      </c>
      <c r="P91" s="4"/>
      <c r="Q91" s="4"/>
      <c r="R91" s="4"/>
      <c r="S91" s="4"/>
      <c r="T91" s="4"/>
      <c r="U91" s="4"/>
      <c r="V91" s="4"/>
      <c r="W91" s="4">
        <v>4.3038400000000001</v>
      </c>
      <c r="X91" s="4">
        <v>1</v>
      </c>
      <c r="Y91" s="4">
        <v>4.3038400000000001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209</v>
      </c>
      <c r="F92" s="4">
        <f>ROUND(Source!W68,O92)</f>
        <v>0</v>
      </c>
      <c r="G92" s="4" t="s">
        <v>83</v>
      </c>
      <c r="H92" s="4" t="s">
        <v>84</v>
      </c>
      <c r="I92" s="4"/>
      <c r="J92" s="4"/>
      <c r="K92" s="4">
        <v>209</v>
      </c>
      <c r="L92" s="4">
        <v>23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233</v>
      </c>
      <c r="F93" s="4">
        <f>ROUND(Source!BD68,O93)</f>
        <v>0</v>
      </c>
      <c r="G93" s="4" t="s">
        <v>85</v>
      </c>
      <c r="H93" s="4" t="s">
        <v>86</v>
      </c>
      <c r="I93" s="4"/>
      <c r="J93" s="4"/>
      <c r="K93" s="4">
        <v>233</v>
      </c>
      <c r="L93" s="4">
        <v>24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210</v>
      </c>
      <c r="F94" s="4">
        <f>ROUND(Source!X68,O94)</f>
        <v>22300.26</v>
      </c>
      <c r="G94" s="4" t="s">
        <v>87</v>
      </c>
      <c r="H94" s="4" t="s">
        <v>88</v>
      </c>
      <c r="I94" s="4"/>
      <c r="J94" s="4"/>
      <c r="K94" s="4">
        <v>210</v>
      </c>
      <c r="L94" s="4">
        <v>25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22300.26</v>
      </c>
      <c r="X94" s="4">
        <v>1</v>
      </c>
      <c r="Y94" s="4">
        <v>22300.26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211</v>
      </c>
      <c r="F95" s="4">
        <f>ROUND(Source!Y68,O95)</f>
        <v>11724.88</v>
      </c>
      <c r="G95" s="4" t="s">
        <v>89</v>
      </c>
      <c r="H95" s="4" t="s">
        <v>90</v>
      </c>
      <c r="I95" s="4"/>
      <c r="J95" s="4"/>
      <c r="K95" s="4">
        <v>211</v>
      </c>
      <c r="L95" s="4">
        <v>26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11724.88</v>
      </c>
      <c r="X95" s="4">
        <v>1</v>
      </c>
      <c r="Y95" s="4">
        <v>11724.88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224</v>
      </c>
      <c r="F96" s="4">
        <f>ROUND(Source!AR68,O96)</f>
        <v>61481</v>
      </c>
      <c r="G96" s="4" t="s">
        <v>91</v>
      </c>
      <c r="H96" s="4" t="s">
        <v>92</v>
      </c>
      <c r="I96" s="4"/>
      <c r="J96" s="4"/>
      <c r="K96" s="4">
        <v>224</v>
      </c>
      <c r="L96" s="4">
        <v>27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61480.999999999993</v>
      </c>
      <c r="X96" s="4">
        <v>1</v>
      </c>
      <c r="Y96" s="4">
        <v>61480.999999999993</v>
      </c>
      <c r="Z96" s="4"/>
      <c r="AA96" s="4"/>
      <c r="AB96" s="4"/>
    </row>
    <row r="98" spans="1:245" x14ac:dyDescent="0.2">
      <c r="A98" s="1">
        <v>4</v>
      </c>
      <c r="B98" s="1">
        <v>1</v>
      </c>
      <c r="C98" s="1"/>
      <c r="D98" s="1">
        <f>ROW(A105)</f>
        <v>105</v>
      </c>
      <c r="E98" s="1"/>
      <c r="F98" s="1" t="s">
        <v>18</v>
      </c>
      <c r="G98" s="1" t="s">
        <v>96</v>
      </c>
      <c r="H98" s="1" t="s">
        <v>3</v>
      </c>
      <c r="I98" s="1">
        <v>0</v>
      </c>
      <c r="J98" s="1"/>
      <c r="K98" s="1">
        <v>0</v>
      </c>
      <c r="L98" s="1"/>
      <c r="M98" s="1" t="s">
        <v>3</v>
      </c>
      <c r="N98" s="1"/>
      <c r="O98" s="1"/>
      <c r="P98" s="1"/>
      <c r="Q98" s="1"/>
      <c r="R98" s="1"/>
      <c r="S98" s="1">
        <v>0</v>
      </c>
      <c r="T98" s="1"/>
      <c r="U98" s="1" t="s">
        <v>3</v>
      </c>
      <c r="V98" s="1">
        <v>0</v>
      </c>
      <c r="W98" s="1"/>
      <c r="X98" s="1"/>
      <c r="Y98" s="1"/>
      <c r="Z98" s="1"/>
      <c r="AA98" s="1"/>
      <c r="AB98" s="1" t="s">
        <v>3</v>
      </c>
      <c r="AC98" s="1" t="s">
        <v>3</v>
      </c>
      <c r="AD98" s="1" t="s">
        <v>3</v>
      </c>
      <c r="AE98" s="1" t="s">
        <v>3</v>
      </c>
      <c r="AF98" s="1" t="s">
        <v>3</v>
      </c>
      <c r="AG98" s="1" t="s">
        <v>3</v>
      </c>
      <c r="AH98" s="1"/>
      <c r="AI98" s="1"/>
      <c r="AJ98" s="1"/>
      <c r="AK98" s="1"/>
      <c r="AL98" s="1"/>
      <c r="AM98" s="1"/>
      <c r="AN98" s="1"/>
      <c r="AO98" s="1"/>
      <c r="AP98" s="1" t="s">
        <v>3</v>
      </c>
      <c r="AQ98" s="1" t="s">
        <v>3</v>
      </c>
      <c r="AR98" s="1" t="s">
        <v>3</v>
      </c>
      <c r="AS98" s="1"/>
      <c r="AT98" s="1"/>
      <c r="AU98" s="1"/>
      <c r="AV98" s="1"/>
      <c r="AW98" s="1"/>
      <c r="AX98" s="1"/>
      <c r="AY98" s="1"/>
      <c r="AZ98" s="1" t="s">
        <v>3</v>
      </c>
      <c r="BA98" s="1"/>
      <c r="BB98" s="1" t="s">
        <v>3</v>
      </c>
      <c r="BC98" s="1" t="s">
        <v>3</v>
      </c>
      <c r="BD98" s="1" t="s">
        <v>3</v>
      </c>
      <c r="BE98" s="1" t="s">
        <v>3</v>
      </c>
      <c r="BF98" s="1" t="s">
        <v>3</v>
      </c>
      <c r="BG98" s="1" t="s">
        <v>3</v>
      </c>
      <c r="BH98" s="1" t="s">
        <v>3</v>
      </c>
      <c r="BI98" s="1" t="s">
        <v>3</v>
      </c>
      <c r="BJ98" s="1" t="s">
        <v>3</v>
      </c>
      <c r="BK98" s="1" t="s">
        <v>3</v>
      </c>
      <c r="BL98" s="1" t="s">
        <v>3</v>
      </c>
      <c r="BM98" s="1" t="s">
        <v>3</v>
      </c>
      <c r="BN98" s="1" t="s">
        <v>3</v>
      </c>
      <c r="BO98" s="1" t="s">
        <v>3</v>
      </c>
      <c r="BP98" s="1" t="s">
        <v>3</v>
      </c>
      <c r="BQ98" s="1"/>
      <c r="BR98" s="1"/>
      <c r="BS98" s="1"/>
      <c r="BT98" s="1"/>
      <c r="BU98" s="1"/>
      <c r="BV98" s="1"/>
      <c r="BW98" s="1"/>
      <c r="BX98" s="1">
        <v>0</v>
      </c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>
        <v>0</v>
      </c>
    </row>
    <row r="100" spans="1:245" x14ac:dyDescent="0.2">
      <c r="A100" s="2">
        <v>52</v>
      </c>
      <c r="B100" s="2">
        <f t="shared" ref="B100:G100" si="32">B105</f>
        <v>1</v>
      </c>
      <c r="C100" s="2">
        <f t="shared" si="32"/>
        <v>4</v>
      </c>
      <c r="D100" s="2">
        <f t="shared" si="32"/>
        <v>98</v>
      </c>
      <c r="E100" s="2">
        <f t="shared" si="32"/>
        <v>0</v>
      </c>
      <c r="F100" s="2" t="str">
        <f t="shared" si="32"/>
        <v>Новый раздел</v>
      </c>
      <c r="G100" s="2" t="str">
        <f t="shared" si="32"/>
        <v>Оборудование</v>
      </c>
      <c r="H100" s="2"/>
      <c r="I100" s="2"/>
      <c r="J100" s="2"/>
      <c r="K100" s="2"/>
      <c r="L100" s="2"/>
      <c r="M100" s="2"/>
      <c r="N100" s="2"/>
      <c r="O100" s="2">
        <f t="shared" ref="O100:AT100" si="33">O105</f>
        <v>1607652.61</v>
      </c>
      <c r="P100" s="2">
        <f t="shared" si="33"/>
        <v>1607652.61</v>
      </c>
      <c r="Q100" s="2">
        <f t="shared" si="33"/>
        <v>0</v>
      </c>
      <c r="R100" s="2">
        <f t="shared" si="33"/>
        <v>0</v>
      </c>
      <c r="S100" s="2">
        <f t="shared" si="33"/>
        <v>0</v>
      </c>
      <c r="T100" s="2">
        <f t="shared" si="33"/>
        <v>0</v>
      </c>
      <c r="U100" s="2">
        <f t="shared" si="33"/>
        <v>0</v>
      </c>
      <c r="V100" s="2">
        <f t="shared" si="33"/>
        <v>0</v>
      </c>
      <c r="W100" s="2">
        <f t="shared" si="33"/>
        <v>0</v>
      </c>
      <c r="X100" s="2">
        <f t="shared" si="33"/>
        <v>0</v>
      </c>
      <c r="Y100" s="2">
        <f t="shared" si="33"/>
        <v>0</v>
      </c>
      <c r="Z100" s="2">
        <f t="shared" si="33"/>
        <v>0</v>
      </c>
      <c r="AA100" s="2">
        <f t="shared" si="33"/>
        <v>0</v>
      </c>
      <c r="AB100" s="2">
        <f t="shared" si="33"/>
        <v>1607652.61</v>
      </c>
      <c r="AC100" s="2">
        <f t="shared" si="33"/>
        <v>1607652.61</v>
      </c>
      <c r="AD100" s="2">
        <f t="shared" si="33"/>
        <v>0</v>
      </c>
      <c r="AE100" s="2">
        <f t="shared" si="33"/>
        <v>0</v>
      </c>
      <c r="AF100" s="2">
        <f t="shared" si="33"/>
        <v>0</v>
      </c>
      <c r="AG100" s="2">
        <f t="shared" si="33"/>
        <v>0</v>
      </c>
      <c r="AH100" s="2">
        <f t="shared" si="33"/>
        <v>0</v>
      </c>
      <c r="AI100" s="2">
        <f t="shared" si="33"/>
        <v>0</v>
      </c>
      <c r="AJ100" s="2">
        <f t="shared" si="33"/>
        <v>0</v>
      </c>
      <c r="AK100" s="2">
        <f t="shared" si="33"/>
        <v>0</v>
      </c>
      <c r="AL100" s="2">
        <f t="shared" si="33"/>
        <v>0</v>
      </c>
      <c r="AM100" s="2">
        <f t="shared" si="33"/>
        <v>0</v>
      </c>
      <c r="AN100" s="2">
        <f t="shared" si="33"/>
        <v>0</v>
      </c>
      <c r="AO100" s="2">
        <f t="shared" si="33"/>
        <v>0</v>
      </c>
      <c r="AP100" s="2">
        <f t="shared" si="33"/>
        <v>0</v>
      </c>
      <c r="AQ100" s="2">
        <f t="shared" si="33"/>
        <v>0</v>
      </c>
      <c r="AR100" s="2">
        <f t="shared" si="33"/>
        <v>1607652.61</v>
      </c>
      <c r="AS100" s="2">
        <f t="shared" si="33"/>
        <v>1606416.66</v>
      </c>
      <c r="AT100" s="2">
        <f t="shared" si="33"/>
        <v>1235.95</v>
      </c>
      <c r="AU100" s="2">
        <f t="shared" ref="AU100:BZ100" si="34">AU105</f>
        <v>0</v>
      </c>
      <c r="AV100" s="2">
        <f t="shared" si="34"/>
        <v>1607652.61</v>
      </c>
      <c r="AW100" s="2">
        <f t="shared" si="34"/>
        <v>1607652.61</v>
      </c>
      <c r="AX100" s="2">
        <f t="shared" si="34"/>
        <v>0</v>
      </c>
      <c r="AY100" s="2">
        <f t="shared" si="34"/>
        <v>1607652.61</v>
      </c>
      <c r="AZ100" s="2">
        <f t="shared" si="34"/>
        <v>0</v>
      </c>
      <c r="BA100" s="2">
        <f t="shared" si="34"/>
        <v>0</v>
      </c>
      <c r="BB100" s="2">
        <f t="shared" si="34"/>
        <v>0</v>
      </c>
      <c r="BC100" s="2">
        <f t="shared" si="34"/>
        <v>0</v>
      </c>
      <c r="BD100" s="2">
        <f t="shared" si="34"/>
        <v>0</v>
      </c>
      <c r="BE100" s="2">
        <f t="shared" si="34"/>
        <v>0</v>
      </c>
      <c r="BF100" s="2">
        <f t="shared" si="34"/>
        <v>0</v>
      </c>
      <c r="BG100" s="2">
        <f t="shared" si="34"/>
        <v>0</v>
      </c>
      <c r="BH100" s="2">
        <f t="shared" si="34"/>
        <v>0</v>
      </c>
      <c r="BI100" s="2">
        <f t="shared" si="34"/>
        <v>0</v>
      </c>
      <c r="BJ100" s="2">
        <f t="shared" si="34"/>
        <v>0</v>
      </c>
      <c r="BK100" s="2">
        <f t="shared" si="34"/>
        <v>0</v>
      </c>
      <c r="BL100" s="2">
        <f t="shared" si="34"/>
        <v>0</v>
      </c>
      <c r="BM100" s="2">
        <f t="shared" si="34"/>
        <v>0</v>
      </c>
      <c r="BN100" s="2">
        <f t="shared" si="34"/>
        <v>0</v>
      </c>
      <c r="BO100" s="2">
        <f t="shared" si="34"/>
        <v>0</v>
      </c>
      <c r="BP100" s="2">
        <f t="shared" si="34"/>
        <v>0</v>
      </c>
      <c r="BQ100" s="2">
        <f t="shared" si="34"/>
        <v>0</v>
      </c>
      <c r="BR100" s="2">
        <f t="shared" si="34"/>
        <v>0</v>
      </c>
      <c r="BS100" s="2">
        <f t="shared" si="34"/>
        <v>0</v>
      </c>
      <c r="BT100" s="2">
        <f t="shared" si="34"/>
        <v>0</v>
      </c>
      <c r="BU100" s="2">
        <f t="shared" si="34"/>
        <v>0</v>
      </c>
      <c r="BV100" s="2">
        <f t="shared" si="34"/>
        <v>0</v>
      </c>
      <c r="BW100" s="2">
        <f t="shared" si="34"/>
        <v>0</v>
      </c>
      <c r="BX100" s="2">
        <f t="shared" si="34"/>
        <v>0</v>
      </c>
      <c r="BY100" s="2">
        <f t="shared" si="34"/>
        <v>0</v>
      </c>
      <c r="BZ100" s="2">
        <f t="shared" si="34"/>
        <v>0</v>
      </c>
      <c r="CA100" s="2">
        <f t="shared" ref="CA100:DF100" si="35">CA105</f>
        <v>1607652.61</v>
      </c>
      <c r="CB100" s="2">
        <f t="shared" si="35"/>
        <v>1606416.66</v>
      </c>
      <c r="CC100" s="2">
        <f t="shared" si="35"/>
        <v>1235.95</v>
      </c>
      <c r="CD100" s="2">
        <f t="shared" si="35"/>
        <v>0</v>
      </c>
      <c r="CE100" s="2">
        <f t="shared" si="35"/>
        <v>1607652.61</v>
      </c>
      <c r="CF100" s="2">
        <f t="shared" si="35"/>
        <v>1607652.61</v>
      </c>
      <c r="CG100" s="2">
        <f t="shared" si="35"/>
        <v>0</v>
      </c>
      <c r="CH100" s="2">
        <f t="shared" si="35"/>
        <v>1607652.61</v>
      </c>
      <c r="CI100" s="2">
        <f t="shared" si="35"/>
        <v>0</v>
      </c>
      <c r="CJ100" s="2">
        <f t="shared" si="35"/>
        <v>0</v>
      </c>
      <c r="CK100" s="2">
        <f t="shared" si="35"/>
        <v>0</v>
      </c>
      <c r="CL100" s="2">
        <f t="shared" si="35"/>
        <v>0</v>
      </c>
      <c r="CM100" s="2">
        <f t="shared" si="35"/>
        <v>0</v>
      </c>
      <c r="CN100" s="2">
        <f t="shared" si="35"/>
        <v>0</v>
      </c>
      <c r="CO100" s="2">
        <f t="shared" si="35"/>
        <v>0</v>
      </c>
      <c r="CP100" s="2">
        <f t="shared" si="35"/>
        <v>0</v>
      </c>
      <c r="CQ100" s="2">
        <f t="shared" si="35"/>
        <v>0</v>
      </c>
      <c r="CR100" s="2">
        <f t="shared" si="35"/>
        <v>0</v>
      </c>
      <c r="CS100" s="2">
        <f t="shared" si="35"/>
        <v>0</v>
      </c>
      <c r="CT100" s="2">
        <f t="shared" si="35"/>
        <v>0</v>
      </c>
      <c r="CU100" s="2">
        <f t="shared" si="35"/>
        <v>0</v>
      </c>
      <c r="CV100" s="2">
        <f t="shared" si="35"/>
        <v>0</v>
      </c>
      <c r="CW100" s="2">
        <f t="shared" si="35"/>
        <v>0</v>
      </c>
      <c r="CX100" s="2">
        <f t="shared" si="35"/>
        <v>0</v>
      </c>
      <c r="CY100" s="2">
        <f t="shared" si="35"/>
        <v>0</v>
      </c>
      <c r="CZ100" s="2">
        <f t="shared" si="35"/>
        <v>0</v>
      </c>
      <c r="DA100" s="2">
        <f t="shared" si="35"/>
        <v>0</v>
      </c>
      <c r="DB100" s="2">
        <f t="shared" si="35"/>
        <v>0</v>
      </c>
      <c r="DC100" s="2">
        <f t="shared" si="35"/>
        <v>0</v>
      </c>
      <c r="DD100" s="2">
        <f t="shared" si="35"/>
        <v>0</v>
      </c>
      <c r="DE100" s="2">
        <f t="shared" si="35"/>
        <v>0</v>
      </c>
      <c r="DF100" s="2">
        <f t="shared" si="35"/>
        <v>0</v>
      </c>
      <c r="DG100" s="3">
        <f t="shared" ref="DG100:EL100" si="36">DG105</f>
        <v>0</v>
      </c>
      <c r="DH100" s="3">
        <f t="shared" si="36"/>
        <v>0</v>
      </c>
      <c r="DI100" s="3">
        <f t="shared" si="36"/>
        <v>0</v>
      </c>
      <c r="DJ100" s="3">
        <f t="shared" si="36"/>
        <v>0</v>
      </c>
      <c r="DK100" s="3">
        <f t="shared" si="36"/>
        <v>0</v>
      </c>
      <c r="DL100" s="3">
        <f t="shared" si="36"/>
        <v>0</v>
      </c>
      <c r="DM100" s="3">
        <f t="shared" si="36"/>
        <v>0</v>
      </c>
      <c r="DN100" s="3">
        <f t="shared" si="36"/>
        <v>0</v>
      </c>
      <c r="DO100" s="3">
        <f t="shared" si="36"/>
        <v>0</v>
      </c>
      <c r="DP100" s="3">
        <f t="shared" si="36"/>
        <v>0</v>
      </c>
      <c r="DQ100" s="3">
        <f t="shared" si="36"/>
        <v>0</v>
      </c>
      <c r="DR100" s="3">
        <f t="shared" si="36"/>
        <v>0</v>
      </c>
      <c r="DS100" s="3">
        <f t="shared" si="36"/>
        <v>0</v>
      </c>
      <c r="DT100" s="3">
        <f t="shared" si="36"/>
        <v>0</v>
      </c>
      <c r="DU100" s="3">
        <f t="shared" si="36"/>
        <v>0</v>
      </c>
      <c r="DV100" s="3">
        <f t="shared" si="36"/>
        <v>0</v>
      </c>
      <c r="DW100" s="3">
        <f t="shared" si="36"/>
        <v>0</v>
      </c>
      <c r="DX100" s="3">
        <f t="shared" si="36"/>
        <v>0</v>
      </c>
      <c r="DY100" s="3">
        <f t="shared" si="36"/>
        <v>0</v>
      </c>
      <c r="DZ100" s="3">
        <f t="shared" si="36"/>
        <v>0</v>
      </c>
      <c r="EA100" s="3">
        <f t="shared" si="36"/>
        <v>0</v>
      </c>
      <c r="EB100" s="3">
        <f t="shared" si="36"/>
        <v>0</v>
      </c>
      <c r="EC100" s="3">
        <f t="shared" si="36"/>
        <v>0</v>
      </c>
      <c r="ED100" s="3">
        <f t="shared" si="36"/>
        <v>0</v>
      </c>
      <c r="EE100" s="3">
        <f t="shared" si="36"/>
        <v>0</v>
      </c>
      <c r="EF100" s="3">
        <f t="shared" si="36"/>
        <v>0</v>
      </c>
      <c r="EG100" s="3">
        <f t="shared" si="36"/>
        <v>0</v>
      </c>
      <c r="EH100" s="3">
        <f t="shared" si="36"/>
        <v>0</v>
      </c>
      <c r="EI100" s="3">
        <f t="shared" si="36"/>
        <v>0</v>
      </c>
      <c r="EJ100" s="3">
        <f t="shared" si="36"/>
        <v>0</v>
      </c>
      <c r="EK100" s="3">
        <f t="shared" si="36"/>
        <v>0</v>
      </c>
      <c r="EL100" s="3">
        <f t="shared" si="36"/>
        <v>0</v>
      </c>
      <c r="EM100" s="3">
        <f t="shared" ref="EM100:FR100" si="37">EM105</f>
        <v>0</v>
      </c>
      <c r="EN100" s="3">
        <f t="shared" si="37"/>
        <v>0</v>
      </c>
      <c r="EO100" s="3">
        <f t="shared" si="37"/>
        <v>0</v>
      </c>
      <c r="EP100" s="3">
        <f t="shared" si="37"/>
        <v>0</v>
      </c>
      <c r="EQ100" s="3">
        <f t="shared" si="37"/>
        <v>0</v>
      </c>
      <c r="ER100" s="3">
        <f t="shared" si="37"/>
        <v>0</v>
      </c>
      <c r="ES100" s="3">
        <f t="shared" si="37"/>
        <v>0</v>
      </c>
      <c r="ET100" s="3">
        <f t="shared" si="37"/>
        <v>0</v>
      </c>
      <c r="EU100" s="3">
        <f t="shared" si="37"/>
        <v>0</v>
      </c>
      <c r="EV100" s="3">
        <f t="shared" si="37"/>
        <v>0</v>
      </c>
      <c r="EW100" s="3">
        <f t="shared" si="37"/>
        <v>0</v>
      </c>
      <c r="EX100" s="3">
        <f t="shared" si="37"/>
        <v>0</v>
      </c>
      <c r="EY100" s="3">
        <f t="shared" si="37"/>
        <v>0</v>
      </c>
      <c r="EZ100" s="3">
        <f t="shared" si="37"/>
        <v>0</v>
      </c>
      <c r="FA100" s="3">
        <f t="shared" si="37"/>
        <v>0</v>
      </c>
      <c r="FB100" s="3">
        <f t="shared" si="37"/>
        <v>0</v>
      </c>
      <c r="FC100" s="3">
        <f t="shared" si="37"/>
        <v>0</v>
      </c>
      <c r="FD100" s="3">
        <f t="shared" si="37"/>
        <v>0</v>
      </c>
      <c r="FE100" s="3">
        <f t="shared" si="37"/>
        <v>0</v>
      </c>
      <c r="FF100" s="3">
        <f t="shared" si="37"/>
        <v>0</v>
      </c>
      <c r="FG100" s="3">
        <f t="shared" si="37"/>
        <v>0</v>
      </c>
      <c r="FH100" s="3">
        <f t="shared" si="37"/>
        <v>0</v>
      </c>
      <c r="FI100" s="3">
        <f t="shared" si="37"/>
        <v>0</v>
      </c>
      <c r="FJ100" s="3">
        <f t="shared" si="37"/>
        <v>0</v>
      </c>
      <c r="FK100" s="3">
        <f t="shared" si="37"/>
        <v>0</v>
      </c>
      <c r="FL100" s="3">
        <f t="shared" si="37"/>
        <v>0</v>
      </c>
      <c r="FM100" s="3">
        <f t="shared" si="37"/>
        <v>0</v>
      </c>
      <c r="FN100" s="3">
        <f t="shared" si="37"/>
        <v>0</v>
      </c>
      <c r="FO100" s="3">
        <f t="shared" si="37"/>
        <v>0</v>
      </c>
      <c r="FP100" s="3">
        <f t="shared" si="37"/>
        <v>0</v>
      </c>
      <c r="FQ100" s="3">
        <f t="shared" si="37"/>
        <v>0</v>
      </c>
      <c r="FR100" s="3">
        <f t="shared" si="37"/>
        <v>0</v>
      </c>
      <c r="FS100" s="3">
        <f t="shared" ref="FS100:GX100" si="38">FS105</f>
        <v>0</v>
      </c>
      <c r="FT100" s="3">
        <f t="shared" si="38"/>
        <v>0</v>
      </c>
      <c r="FU100" s="3">
        <f t="shared" si="38"/>
        <v>0</v>
      </c>
      <c r="FV100" s="3">
        <f t="shared" si="38"/>
        <v>0</v>
      </c>
      <c r="FW100" s="3">
        <f t="shared" si="38"/>
        <v>0</v>
      </c>
      <c r="FX100" s="3">
        <f t="shared" si="38"/>
        <v>0</v>
      </c>
      <c r="FY100" s="3">
        <f t="shared" si="38"/>
        <v>0</v>
      </c>
      <c r="FZ100" s="3">
        <f t="shared" si="38"/>
        <v>0</v>
      </c>
      <c r="GA100" s="3">
        <f t="shared" si="38"/>
        <v>0</v>
      </c>
      <c r="GB100" s="3">
        <f t="shared" si="38"/>
        <v>0</v>
      </c>
      <c r="GC100" s="3">
        <f t="shared" si="38"/>
        <v>0</v>
      </c>
      <c r="GD100" s="3">
        <f t="shared" si="38"/>
        <v>0</v>
      </c>
      <c r="GE100" s="3">
        <f t="shared" si="38"/>
        <v>0</v>
      </c>
      <c r="GF100" s="3">
        <f t="shared" si="38"/>
        <v>0</v>
      </c>
      <c r="GG100" s="3">
        <f t="shared" si="38"/>
        <v>0</v>
      </c>
      <c r="GH100" s="3">
        <f t="shared" si="38"/>
        <v>0</v>
      </c>
      <c r="GI100" s="3">
        <f t="shared" si="38"/>
        <v>0</v>
      </c>
      <c r="GJ100" s="3">
        <f t="shared" si="38"/>
        <v>0</v>
      </c>
      <c r="GK100" s="3">
        <f t="shared" si="38"/>
        <v>0</v>
      </c>
      <c r="GL100" s="3">
        <f t="shared" si="38"/>
        <v>0</v>
      </c>
      <c r="GM100" s="3">
        <f t="shared" si="38"/>
        <v>0</v>
      </c>
      <c r="GN100" s="3">
        <f t="shared" si="38"/>
        <v>0</v>
      </c>
      <c r="GO100" s="3">
        <f t="shared" si="38"/>
        <v>0</v>
      </c>
      <c r="GP100" s="3">
        <f t="shared" si="38"/>
        <v>0</v>
      </c>
      <c r="GQ100" s="3">
        <f t="shared" si="38"/>
        <v>0</v>
      </c>
      <c r="GR100" s="3">
        <f t="shared" si="38"/>
        <v>0</v>
      </c>
      <c r="GS100" s="3">
        <f t="shared" si="38"/>
        <v>0</v>
      </c>
      <c r="GT100" s="3">
        <f t="shared" si="38"/>
        <v>0</v>
      </c>
      <c r="GU100" s="3">
        <f t="shared" si="38"/>
        <v>0</v>
      </c>
      <c r="GV100" s="3">
        <f t="shared" si="38"/>
        <v>0</v>
      </c>
      <c r="GW100" s="3">
        <f t="shared" si="38"/>
        <v>0</v>
      </c>
      <c r="GX100" s="3">
        <f t="shared" si="38"/>
        <v>0</v>
      </c>
    </row>
    <row r="102" spans="1:245" x14ac:dyDescent="0.2">
      <c r="A102">
        <v>17</v>
      </c>
      <c r="B102">
        <v>1</v>
      </c>
      <c r="E102" t="s">
        <v>97</v>
      </c>
      <c r="F102" t="s">
        <v>98</v>
      </c>
      <c r="G102" t="s">
        <v>99</v>
      </c>
      <c r="H102" t="s">
        <v>23</v>
      </c>
      <c r="I102">
        <v>2</v>
      </c>
      <c r="J102">
        <v>0</v>
      </c>
      <c r="K102">
        <v>2</v>
      </c>
      <c r="O102">
        <f>ROUND(CP102,2)</f>
        <v>1606416.66</v>
      </c>
      <c r="P102">
        <f>ROUND(CQ102*I102,2)</f>
        <v>1606416.66</v>
      </c>
      <c r="Q102">
        <f>ROUND(CR102*I102,2)</f>
        <v>0</v>
      </c>
      <c r="R102">
        <f>ROUND(CS102*I102,2)</f>
        <v>0</v>
      </c>
      <c r="S102">
        <f>ROUND(CT102*I102,2)</f>
        <v>0</v>
      </c>
      <c r="T102">
        <f>ROUND(CU102*I102,2)</f>
        <v>0</v>
      </c>
      <c r="U102">
        <f>ROUND(CV102*I102,7)</f>
        <v>0</v>
      </c>
      <c r="V102">
        <f>ROUND(CW102*I102,7)</f>
        <v>0</v>
      </c>
      <c r="W102">
        <f>ROUND(CX102*I102,2)</f>
        <v>0</v>
      </c>
      <c r="X102">
        <f>ROUND(CY102,2)</f>
        <v>0</v>
      </c>
      <c r="Y102">
        <f>ROUND(CZ102,2)</f>
        <v>0</v>
      </c>
      <c r="AA102">
        <v>61625010</v>
      </c>
      <c r="AB102">
        <f>ROUND((AC102+AD102+AF102),6)</f>
        <v>803208.33</v>
      </c>
      <c r="AC102">
        <f>ROUND((ES102),6)</f>
        <v>803208.33</v>
      </c>
      <c r="AD102">
        <f>ROUND((ET102),6)</f>
        <v>0</v>
      </c>
      <c r="AE102">
        <f>ROUND((EU102),6)</f>
        <v>0</v>
      </c>
      <c r="AF102">
        <f>ROUND((EV102),6)</f>
        <v>0</v>
      </c>
      <c r="AG102">
        <f>ROUND((AP102),6)</f>
        <v>0</v>
      </c>
      <c r="AH102">
        <f>(EW102)</f>
        <v>0</v>
      </c>
      <c r="AI102">
        <f>(EX102)</f>
        <v>0</v>
      </c>
      <c r="AJ102">
        <f>(AS102)</f>
        <v>0</v>
      </c>
      <c r="AK102">
        <v>803208.33</v>
      </c>
      <c r="AL102">
        <v>803208.33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0</v>
      </c>
      <c r="BJ102" t="s">
        <v>3</v>
      </c>
      <c r="BM102">
        <v>1617</v>
      </c>
      <c r="BN102">
        <v>0</v>
      </c>
      <c r="BO102" t="s">
        <v>3</v>
      </c>
      <c r="BP102">
        <v>0</v>
      </c>
      <c r="BQ102">
        <v>0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>(P102+Q102+S102+R102)</f>
        <v>1606416.66</v>
      </c>
      <c r="CQ102">
        <f>ROUND(AL102,2)</f>
        <v>803208.33</v>
      </c>
      <c r="CR102">
        <f>ROUND(AM102,2)</f>
        <v>0</v>
      </c>
      <c r="CS102">
        <f>ROUND(AN102*BS102,2)</f>
        <v>0</v>
      </c>
      <c r="CT102">
        <f>ROUND(AO102*BA102,2)</f>
        <v>0</v>
      </c>
      <c r="CU102">
        <f t="shared" ref="CU102:CX103" si="39">AG102</f>
        <v>0</v>
      </c>
      <c r="CV102">
        <f t="shared" si="39"/>
        <v>0</v>
      </c>
      <c r="CW102">
        <f t="shared" si="39"/>
        <v>0</v>
      </c>
      <c r="CX102">
        <f t="shared" si="39"/>
        <v>0</v>
      </c>
      <c r="CY102">
        <f>0</f>
        <v>0</v>
      </c>
      <c r="CZ102">
        <f>0</f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23</v>
      </c>
      <c r="DW102" t="s">
        <v>23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0</v>
      </c>
      <c r="EF102">
        <v>0</v>
      </c>
      <c r="EG102" t="s">
        <v>3</v>
      </c>
      <c r="EH102">
        <v>0</v>
      </c>
      <c r="EI102" t="s">
        <v>3</v>
      </c>
      <c r="EJ102">
        <v>0</v>
      </c>
      <c r="EK102">
        <v>1617</v>
      </c>
      <c r="EL102" t="s">
        <v>3</v>
      </c>
      <c r="EM102" t="s">
        <v>3</v>
      </c>
      <c r="EO102" t="s">
        <v>3</v>
      </c>
      <c r="EQ102">
        <v>0</v>
      </c>
      <c r="ER102">
        <v>803208.33</v>
      </c>
      <c r="ES102">
        <v>803208.33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5</v>
      </c>
      <c r="FC102">
        <v>1</v>
      </c>
      <c r="FD102">
        <v>18</v>
      </c>
      <c r="FF102">
        <v>925000</v>
      </c>
      <c r="FQ102">
        <v>0</v>
      </c>
      <c r="FR102">
        <f>ROUND(IF(BI102=3,GM102,0),2)</f>
        <v>0</v>
      </c>
      <c r="FS102">
        <v>0</v>
      </c>
      <c r="FX102">
        <v>0</v>
      </c>
      <c r="FY102">
        <v>0</v>
      </c>
      <c r="GA102" t="s">
        <v>100</v>
      </c>
      <c r="GD102">
        <v>1</v>
      </c>
      <c r="GF102">
        <v>1005173282</v>
      </c>
      <c r="GG102">
        <v>2</v>
      </c>
      <c r="GH102">
        <v>3</v>
      </c>
      <c r="GI102">
        <v>-2</v>
      </c>
      <c r="GJ102">
        <v>0</v>
      </c>
      <c r="GK102">
        <v>0</v>
      </c>
      <c r="GL102">
        <f>ROUND(IF(AND(BH102=3,BI102=3,FS102&lt;&gt;0),P102,0),2)</f>
        <v>0</v>
      </c>
      <c r="GM102">
        <f>ROUND(O102+X102+Y102,2)+GX102</f>
        <v>1606416.66</v>
      </c>
      <c r="GN102">
        <f>IF(OR(BI102=0,BI102=1),GM102-GX102,0)</f>
        <v>1606416.66</v>
      </c>
      <c r="GO102">
        <f>IF(BI102=2,GM102-GX102,0)</f>
        <v>0</v>
      </c>
      <c r="GP102">
        <f>IF(BI102=4,GM102-GX102,0)</f>
        <v>0</v>
      </c>
      <c r="GR102">
        <v>1</v>
      </c>
      <c r="GS102">
        <v>1</v>
      </c>
      <c r="GT102">
        <v>0</v>
      </c>
      <c r="GU102" t="s">
        <v>3</v>
      </c>
      <c r="GV102">
        <f>ROUND((GT102),6)</f>
        <v>0</v>
      </c>
      <c r="GW102">
        <v>1</v>
      </c>
      <c r="GX102">
        <f>ROUND(HC102*I102,2)</f>
        <v>0</v>
      </c>
      <c r="HA102">
        <v>0</v>
      </c>
      <c r="HB102">
        <v>0</v>
      </c>
      <c r="HC102">
        <f>GV102*GW102</f>
        <v>0</v>
      </c>
      <c r="HE102" t="s">
        <v>101</v>
      </c>
      <c r="HF102" t="s">
        <v>102</v>
      </c>
      <c r="HG102">
        <f>ROUND(ROUND(AL102,2)*I102,2)</f>
        <v>1606416.66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45" x14ac:dyDescent="0.2">
      <c r="A103">
        <v>17</v>
      </c>
      <c r="B103">
        <v>1</v>
      </c>
      <c r="E103" t="s">
        <v>103</v>
      </c>
      <c r="F103" t="s">
        <v>104</v>
      </c>
      <c r="G103" t="s">
        <v>105</v>
      </c>
      <c r="H103" t="s">
        <v>106</v>
      </c>
      <c r="I103">
        <v>3.2639999999999998</v>
      </c>
      <c r="J103">
        <v>0</v>
      </c>
      <c r="K103">
        <v>3.2639999999999998</v>
      </c>
      <c r="O103">
        <f>ROUND(CP103,2)</f>
        <v>1235.95</v>
      </c>
      <c r="P103">
        <f>ROUND(CQ103*I103,2)</f>
        <v>1235.95</v>
      </c>
      <c r="Q103">
        <f>ROUND(CR103*I103,2)</f>
        <v>0</v>
      </c>
      <c r="R103">
        <f>ROUND(CS103*I103,2)</f>
        <v>0</v>
      </c>
      <c r="S103">
        <f>ROUND(CT103*I103,2)</f>
        <v>0</v>
      </c>
      <c r="T103">
        <f>ROUND(CU103*I103,2)</f>
        <v>0</v>
      </c>
      <c r="U103">
        <f>ROUND(CV103*I103,7)</f>
        <v>0</v>
      </c>
      <c r="V103">
        <f>ROUND(CW103*I103,7)</f>
        <v>0</v>
      </c>
      <c r="W103">
        <f>ROUND(CX103*I103,2)</f>
        <v>0</v>
      </c>
      <c r="X103">
        <f>ROUND(CY103,2)</f>
        <v>0</v>
      </c>
      <c r="Y103">
        <f>ROUND(CZ103,2)</f>
        <v>0</v>
      </c>
      <c r="AA103">
        <v>61625010</v>
      </c>
      <c r="AB103">
        <f>ROUND((AC103+AD103+AF103),6)</f>
        <v>272.42</v>
      </c>
      <c r="AC103">
        <f>ROUND((ES103),6)</f>
        <v>272.42</v>
      </c>
      <c r="AD103">
        <f>ROUND((((ET103)-(EU103))+AE103),6)</f>
        <v>0</v>
      </c>
      <c r="AE103">
        <f>ROUND((EU103),6)</f>
        <v>0</v>
      </c>
      <c r="AF103">
        <f>ROUND((EV103),6)</f>
        <v>0</v>
      </c>
      <c r="AG103">
        <f>ROUND((AP103),6)</f>
        <v>0</v>
      </c>
      <c r="AH103">
        <f>(EW103)</f>
        <v>0</v>
      </c>
      <c r="AI103">
        <f>(EX103)</f>
        <v>0</v>
      </c>
      <c r="AJ103">
        <f>(AS103)</f>
        <v>0</v>
      </c>
      <c r="AK103">
        <v>272.42</v>
      </c>
      <c r="AL103">
        <v>272.42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1.39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2</v>
      </c>
      <c r="BJ103" t="s">
        <v>107</v>
      </c>
      <c r="BM103">
        <v>500002</v>
      </c>
      <c r="BN103">
        <v>0</v>
      </c>
      <c r="BO103" t="s">
        <v>104</v>
      </c>
      <c r="BP103">
        <v>1</v>
      </c>
      <c r="BQ103">
        <v>12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>(P103+Q103+S103+R103)</f>
        <v>1235.95</v>
      </c>
      <c r="CQ103">
        <f>ROUND(AL103*BC103,2)</f>
        <v>378.66</v>
      </c>
      <c r="CR103">
        <f>ROUND(AM103*BB103,2)</f>
        <v>0</v>
      </c>
      <c r="CS103">
        <f>ROUND(AN103*BS103,2)</f>
        <v>0</v>
      </c>
      <c r="CT103">
        <f>ROUND(AO103*BA103,2)</f>
        <v>0</v>
      </c>
      <c r="CU103">
        <f t="shared" si="39"/>
        <v>0</v>
      </c>
      <c r="CV103">
        <f t="shared" si="39"/>
        <v>0</v>
      </c>
      <c r="CW103">
        <f t="shared" si="39"/>
        <v>0</v>
      </c>
      <c r="CX103">
        <f t="shared" si="39"/>
        <v>0</v>
      </c>
      <c r="CY103">
        <f>0</f>
        <v>0</v>
      </c>
      <c r="CZ103">
        <f>0</f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1009</v>
      </c>
      <c r="DV103" t="s">
        <v>106</v>
      </c>
      <c r="DW103" t="s">
        <v>106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60393247</v>
      </c>
      <c r="EF103">
        <v>12</v>
      </c>
      <c r="EG103" t="s">
        <v>108</v>
      </c>
      <c r="EH103">
        <v>0</v>
      </c>
      <c r="EI103" t="s">
        <v>3</v>
      </c>
      <c r="EJ103">
        <v>2</v>
      </c>
      <c r="EK103">
        <v>500002</v>
      </c>
      <c r="EL103" t="s">
        <v>109</v>
      </c>
      <c r="EM103" t="s">
        <v>110</v>
      </c>
      <c r="EO103" t="s">
        <v>3</v>
      </c>
      <c r="EQ103">
        <v>0</v>
      </c>
      <c r="ER103">
        <v>272.42</v>
      </c>
      <c r="ES103">
        <v>272.42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FQ103">
        <v>0</v>
      </c>
      <c r="FR103">
        <f>ROUND(IF(BI103=3,GM103,0),2)</f>
        <v>0</v>
      </c>
      <c r="FS103">
        <v>0</v>
      </c>
      <c r="FX103">
        <v>0</v>
      </c>
      <c r="FY103">
        <v>0</v>
      </c>
      <c r="GA103" t="s">
        <v>3</v>
      </c>
      <c r="GD103">
        <v>1</v>
      </c>
      <c r="GF103">
        <v>509941234</v>
      </c>
      <c r="GG103">
        <v>2</v>
      </c>
      <c r="GH103">
        <v>1</v>
      </c>
      <c r="GI103">
        <v>2</v>
      </c>
      <c r="GJ103">
        <v>0</v>
      </c>
      <c r="GK103">
        <v>0</v>
      </c>
      <c r="GL103">
        <f>ROUND(IF(AND(BH103=3,BI103=3,FS103&lt;&gt;0),P103,0),2)</f>
        <v>0</v>
      </c>
      <c r="GM103">
        <f>ROUND(O103+X103+Y103,2)+GX103</f>
        <v>1235.95</v>
      </c>
      <c r="GN103">
        <f>IF(OR(BI103=0,BI103=1),GM103-GX103,0)</f>
        <v>0</v>
      </c>
      <c r="GO103">
        <f>IF(BI103=2,GM103-GX103,0)</f>
        <v>1235.95</v>
      </c>
      <c r="GP103">
        <f>IF(BI103=4,GM103-GX103,0)</f>
        <v>0</v>
      </c>
      <c r="GR103">
        <v>0</v>
      </c>
      <c r="GS103">
        <v>3</v>
      </c>
      <c r="GT103">
        <v>0</v>
      </c>
      <c r="GU103" t="s">
        <v>3</v>
      </c>
      <c r="GV103">
        <f>ROUND((GT103),6)</f>
        <v>0</v>
      </c>
      <c r="GW103">
        <v>1</v>
      </c>
      <c r="GX103">
        <f>ROUND(HC103*I103,2)</f>
        <v>0</v>
      </c>
      <c r="HA103">
        <v>0</v>
      </c>
      <c r="HB103">
        <v>0</v>
      </c>
      <c r="HC103">
        <f>GV103*GW103</f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5" spans="1:245" x14ac:dyDescent="0.2">
      <c r="A105" s="2">
        <v>51</v>
      </c>
      <c r="B105" s="2">
        <f>B98</f>
        <v>1</v>
      </c>
      <c r="C105" s="2">
        <f>A98</f>
        <v>4</v>
      </c>
      <c r="D105" s="2">
        <f>ROW(A98)</f>
        <v>98</v>
      </c>
      <c r="E105" s="2"/>
      <c r="F105" s="2" t="str">
        <f>IF(F98&lt;&gt;"",F98,"")</f>
        <v>Новый раздел</v>
      </c>
      <c r="G105" s="2" t="str">
        <f>IF(G98&lt;&gt;"",G98,"")</f>
        <v>Оборудование</v>
      </c>
      <c r="H105" s="2">
        <v>0</v>
      </c>
      <c r="I105" s="2"/>
      <c r="J105" s="2"/>
      <c r="K105" s="2"/>
      <c r="L105" s="2"/>
      <c r="M105" s="2"/>
      <c r="N105" s="2"/>
      <c r="O105" s="2">
        <f t="shared" ref="O105:T105" si="40">ROUND(AB105,2)</f>
        <v>1607652.61</v>
      </c>
      <c r="P105" s="2">
        <f t="shared" si="40"/>
        <v>1607652.61</v>
      </c>
      <c r="Q105" s="2">
        <f t="shared" si="40"/>
        <v>0</v>
      </c>
      <c r="R105" s="2">
        <f t="shared" si="40"/>
        <v>0</v>
      </c>
      <c r="S105" s="2">
        <f t="shared" si="40"/>
        <v>0</v>
      </c>
      <c r="T105" s="2">
        <f t="shared" si="40"/>
        <v>0</v>
      </c>
      <c r="U105" s="2">
        <f>AH105</f>
        <v>0</v>
      </c>
      <c r="V105" s="2">
        <f>AI105</f>
        <v>0</v>
      </c>
      <c r="W105" s="2">
        <f>ROUND(AJ105,2)</f>
        <v>0</v>
      </c>
      <c r="X105" s="2">
        <f>ROUND(AK105,2)</f>
        <v>0</v>
      </c>
      <c r="Y105" s="2">
        <f>ROUND(AL105,2)</f>
        <v>0</v>
      </c>
      <c r="Z105" s="2"/>
      <c r="AA105" s="2"/>
      <c r="AB105" s="2">
        <f>ROUND(SUMIF(AA102:AA103,"=61625010",O102:O103),2)</f>
        <v>1607652.61</v>
      </c>
      <c r="AC105" s="2">
        <f>ROUND(SUMIF(AA102:AA103,"=61625010",P102:P103),2)</f>
        <v>1607652.61</v>
      </c>
      <c r="AD105" s="2">
        <f>ROUND(SUMIF(AA102:AA103,"=61625010",Q102:Q103),2)</f>
        <v>0</v>
      </c>
      <c r="AE105" s="2">
        <f>ROUND(SUMIF(AA102:AA103,"=61625010",R102:R103),2)</f>
        <v>0</v>
      </c>
      <c r="AF105" s="2">
        <f>ROUND(SUMIF(AA102:AA103,"=61625010",S102:S103),2)</f>
        <v>0</v>
      </c>
      <c r="AG105" s="2">
        <f>ROUND(SUMIF(AA102:AA103,"=61625010",T102:T103),2)</f>
        <v>0</v>
      </c>
      <c r="AH105" s="2">
        <f>SUMIF(AA102:AA103,"=61625010",U102:U103)</f>
        <v>0</v>
      </c>
      <c r="AI105" s="2">
        <f>SUMIF(AA102:AA103,"=61625010",V102:V103)</f>
        <v>0</v>
      </c>
      <c r="AJ105" s="2">
        <f>ROUND(SUMIF(AA102:AA103,"=61625010",W102:W103),2)</f>
        <v>0</v>
      </c>
      <c r="AK105" s="2">
        <f>ROUND(SUMIF(AA102:AA103,"=61625010",X102:X103),2)</f>
        <v>0</v>
      </c>
      <c r="AL105" s="2">
        <f>ROUND(SUMIF(AA102:AA103,"=61625010",Y102:Y103),2)</f>
        <v>0</v>
      </c>
      <c r="AM105" s="2"/>
      <c r="AN105" s="2"/>
      <c r="AO105" s="2">
        <f t="shared" ref="AO105:BD105" si="41">ROUND(BX105,2)</f>
        <v>0</v>
      </c>
      <c r="AP105" s="2">
        <f t="shared" si="41"/>
        <v>0</v>
      </c>
      <c r="AQ105" s="2">
        <f t="shared" si="41"/>
        <v>0</v>
      </c>
      <c r="AR105" s="2">
        <f t="shared" si="41"/>
        <v>1607652.61</v>
      </c>
      <c r="AS105" s="2">
        <f t="shared" si="41"/>
        <v>1606416.66</v>
      </c>
      <c r="AT105" s="2">
        <f t="shared" si="41"/>
        <v>1235.95</v>
      </c>
      <c r="AU105" s="2">
        <f t="shared" si="41"/>
        <v>0</v>
      </c>
      <c r="AV105" s="2">
        <f t="shared" si="41"/>
        <v>1607652.61</v>
      </c>
      <c r="AW105" s="2">
        <f t="shared" si="41"/>
        <v>1607652.61</v>
      </c>
      <c r="AX105" s="2">
        <f t="shared" si="41"/>
        <v>0</v>
      </c>
      <c r="AY105" s="2">
        <f t="shared" si="41"/>
        <v>1607652.61</v>
      </c>
      <c r="AZ105" s="2">
        <f t="shared" si="41"/>
        <v>0</v>
      </c>
      <c r="BA105" s="2">
        <f t="shared" si="41"/>
        <v>0</v>
      </c>
      <c r="BB105" s="2">
        <f t="shared" si="41"/>
        <v>0</v>
      </c>
      <c r="BC105" s="2">
        <f t="shared" si="41"/>
        <v>0</v>
      </c>
      <c r="BD105" s="2">
        <f t="shared" si="41"/>
        <v>0</v>
      </c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>
        <f>ROUND(SUMIF(AA102:AA103,"=61625010",FQ102:FQ103),2)</f>
        <v>0</v>
      </c>
      <c r="BY105" s="2">
        <f>ROUND(SUMIF(AA102:AA103,"=61625010",FR102:FR103),2)</f>
        <v>0</v>
      </c>
      <c r="BZ105" s="2">
        <f>ROUND(SUMIF(AA102:AA103,"=61625010",GL102:GL103),2)</f>
        <v>0</v>
      </c>
      <c r="CA105" s="2">
        <f>ROUND(SUMIF(AA102:AA103,"=61625010",GM102:GM103),2)</f>
        <v>1607652.61</v>
      </c>
      <c r="CB105" s="2">
        <f>ROUND(SUMIF(AA102:AA103,"=61625010",GN102:GN103),2)</f>
        <v>1606416.66</v>
      </c>
      <c r="CC105" s="2">
        <f>ROUND(SUMIF(AA102:AA103,"=61625010",GO102:GO103),2)</f>
        <v>1235.95</v>
      </c>
      <c r="CD105" s="2">
        <f>ROUND(SUMIF(AA102:AA103,"=61625010",GP102:GP103),2)</f>
        <v>0</v>
      </c>
      <c r="CE105" s="2">
        <f>AC105-BX105</f>
        <v>1607652.61</v>
      </c>
      <c r="CF105" s="2">
        <f>AC105-BY105</f>
        <v>1607652.61</v>
      </c>
      <c r="CG105" s="2">
        <f>BX105-BZ105</f>
        <v>0</v>
      </c>
      <c r="CH105" s="2">
        <f>AC105-BX105-BY105+BZ105</f>
        <v>1607652.61</v>
      </c>
      <c r="CI105" s="2">
        <f>BY105-BZ105</f>
        <v>0</v>
      </c>
      <c r="CJ105" s="2">
        <f>ROUND(SUMIF(AA102:AA103,"=61625010",GX102:GX103),2)</f>
        <v>0</v>
      </c>
      <c r="CK105" s="2">
        <f>ROUND(SUMIF(AA102:AA103,"=61625010",GY102:GY103),2)</f>
        <v>0</v>
      </c>
      <c r="CL105" s="2">
        <f>ROUND(SUMIF(AA102:AA103,"=61625010",GZ102:GZ103),2)</f>
        <v>0</v>
      </c>
      <c r="CM105" s="2">
        <f>ROUND(SUMIF(AA102:AA103,"=61625010",HD102:HD103),2)</f>
        <v>0</v>
      </c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>
        <v>0</v>
      </c>
    </row>
    <row r="107" spans="1:245" x14ac:dyDescent="0.2">
      <c r="A107" s="4">
        <v>50</v>
      </c>
      <c r="B107" s="4">
        <v>0</v>
      </c>
      <c r="C107" s="4">
        <v>0</v>
      </c>
      <c r="D107" s="4">
        <v>1</v>
      </c>
      <c r="E107" s="4">
        <v>201</v>
      </c>
      <c r="F107" s="4">
        <f>ROUND(Source!O105,O107)</f>
        <v>1607652.61</v>
      </c>
      <c r="G107" s="4" t="s">
        <v>39</v>
      </c>
      <c r="H107" s="4" t="s">
        <v>40</v>
      </c>
      <c r="I107" s="4"/>
      <c r="J107" s="4"/>
      <c r="K107" s="4">
        <v>201</v>
      </c>
      <c r="L107" s="4">
        <v>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1607652.61</v>
      </c>
      <c r="X107" s="4">
        <v>1</v>
      </c>
      <c r="Y107" s="4">
        <v>1607652.61</v>
      </c>
      <c r="Z107" s="4"/>
      <c r="AA107" s="4"/>
      <c r="AB107" s="4"/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202</v>
      </c>
      <c r="F108" s="4">
        <f>ROUND(Source!P105,O108)</f>
        <v>1607652.61</v>
      </c>
      <c r="G108" s="4" t="s">
        <v>41</v>
      </c>
      <c r="H108" s="4" t="s">
        <v>42</v>
      </c>
      <c r="I108" s="4"/>
      <c r="J108" s="4"/>
      <c r="K108" s="4">
        <v>202</v>
      </c>
      <c r="L108" s="4">
        <v>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1607652.61</v>
      </c>
      <c r="X108" s="4">
        <v>1</v>
      </c>
      <c r="Y108" s="4">
        <v>1607652.61</v>
      </c>
      <c r="Z108" s="4"/>
      <c r="AA108" s="4"/>
      <c r="AB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222</v>
      </c>
      <c r="F109" s="4">
        <f>ROUND(Source!AO105,O109)</f>
        <v>0</v>
      </c>
      <c r="G109" s="4" t="s">
        <v>43</v>
      </c>
      <c r="H109" s="4" t="s">
        <v>44</v>
      </c>
      <c r="I109" s="4"/>
      <c r="J109" s="4"/>
      <c r="K109" s="4">
        <v>222</v>
      </c>
      <c r="L109" s="4">
        <v>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225</v>
      </c>
      <c r="F110" s="4">
        <f>ROUND(Source!AV105,O110)</f>
        <v>1607652.61</v>
      </c>
      <c r="G110" s="4" t="s">
        <v>45</v>
      </c>
      <c r="H110" s="4" t="s">
        <v>46</v>
      </c>
      <c r="I110" s="4"/>
      <c r="J110" s="4"/>
      <c r="K110" s="4">
        <v>225</v>
      </c>
      <c r="L110" s="4">
        <v>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1607652.61</v>
      </c>
      <c r="X110" s="4">
        <v>1</v>
      </c>
      <c r="Y110" s="4">
        <v>1607652.61</v>
      </c>
      <c r="Z110" s="4"/>
      <c r="AA110" s="4"/>
      <c r="AB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226</v>
      </c>
      <c r="F111" s="4">
        <f>ROUND(Source!AW105,O111)</f>
        <v>1607652.61</v>
      </c>
      <c r="G111" s="4" t="s">
        <v>47</v>
      </c>
      <c r="H111" s="4" t="s">
        <v>48</v>
      </c>
      <c r="I111" s="4"/>
      <c r="J111" s="4"/>
      <c r="K111" s="4">
        <v>226</v>
      </c>
      <c r="L111" s="4">
        <v>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1607652.61</v>
      </c>
      <c r="X111" s="4">
        <v>1</v>
      </c>
      <c r="Y111" s="4">
        <v>1607652.61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227</v>
      </c>
      <c r="F112" s="4">
        <f>ROUND(Source!AX105,O112)</f>
        <v>0</v>
      </c>
      <c r="G112" s="4" t="s">
        <v>49</v>
      </c>
      <c r="H112" s="4" t="s">
        <v>50</v>
      </c>
      <c r="I112" s="4"/>
      <c r="J112" s="4"/>
      <c r="K112" s="4">
        <v>227</v>
      </c>
      <c r="L112" s="4">
        <v>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228</v>
      </c>
      <c r="F113" s="4">
        <f>ROUND(Source!AY105,O113)</f>
        <v>1607652.61</v>
      </c>
      <c r="G113" s="4" t="s">
        <v>51</v>
      </c>
      <c r="H113" s="4" t="s">
        <v>52</v>
      </c>
      <c r="I113" s="4"/>
      <c r="J113" s="4"/>
      <c r="K113" s="4">
        <v>228</v>
      </c>
      <c r="L113" s="4">
        <v>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1607652.61</v>
      </c>
      <c r="X113" s="4">
        <v>1</v>
      </c>
      <c r="Y113" s="4">
        <v>1607652.61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216</v>
      </c>
      <c r="F114" s="4">
        <f>ROUND(Source!AP105,O114)</f>
        <v>0</v>
      </c>
      <c r="G114" s="4" t="s">
        <v>53</v>
      </c>
      <c r="H114" s="4" t="s">
        <v>54</v>
      </c>
      <c r="I114" s="4"/>
      <c r="J114" s="4"/>
      <c r="K114" s="4">
        <v>216</v>
      </c>
      <c r="L114" s="4">
        <v>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223</v>
      </c>
      <c r="F115" s="4">
        <f>ROUND(Source!AQ105,O115)</f>
        <v>0</v>
      </c>
      <c r="G115" s="4" t="s">
        <v>55</v>
      </c>
      <c r="H115" s="4" t="s">
        <v>56</v>
      </c>
      <c r="I115" s="4"/>
      <c r="J115" s="4"/>
      <c r="K115" s="4">
        <v>223</v>
      </c>
      <c r="L115" s="4">
        <v>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229</v>
      </c>
      <c r="F116" s="4">
        <f>ROUND(Source!AZ105,O116)</f>
        <v>0</v>
      </c>
      <c r="G116" s="4" t="s">
        <v>57</v>
      </c>
      <c r="H116" s="4" t="s">
        <v>58</v>
      </c>
      <c r="I116" s="4"/>
      <c r="J116" s="4"/>
      <c r="K116" s="4">
        <v>229</v>
      </c>
      <c r="L116" s="4">
        <v>10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203</v>
      </c>
      <c r="F117" s="4">
        <f>ROUND(Source!Q105,O117)</f>
        <v>0</v>
      </c>
      <c r="G117" s="4" t="s">
        <v>59</v>
      </c>
      <c r="H117" s="4" t="s">
        <v>60</v>
      </c>
      <c r="I117" s="4"/>
      <c r="J117" s="4"/>
      <c r="K117" s="4">
        <v>203</v>
      </c>
      <c r="L117" s="4">
        <v>11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231</v>
      </c>
      <c r="F118" s="4">
        <f>ROUND(Source!BB105,O118)</f>
        <v>0</v>
      </c>
      <c r="G118" s="4" t="s">
        <v>61</v>
      </c>
      <c r="H118" s="4" t="s">
        <v>62</v>
      </c>
      <c r="I118" s="4"/>
      <c r="J118" s="4"/>
      <c r="K118" s="4">
        <v>231</v>
      </c>
      <c r="L118" s="4">
        <v>12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204</v>
      </c>
      <c r="F119" s="4">
        <f>ROUND(Source!R105,O119)</f>
        <v>0</v>
      </c>
      <c r="G119" s="4" t="s">
        <v>63</v>
      </c>
      <c r="H119" s="4" t="s">
        <v>64</v>
      </c>
      <c r="I119" s="4"/>
      <c r="J119" s="4"/>
      <c r="K119" s="4">
        <v>204</v>
      </c>
      <c r="L119" s="4">
        <v>13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205</v>
      </c>
      <c r="F120" s="4">
        <f>ROUND(Source!S105,O120)</f>
        <v>0</v>
      </c>
      <c r="G120" s="4" t="s">
        <v>65</v>
      </c>
      <c r="H120" s="4" t="s">
        <v>66</v>
      </c>
      <c r="I120" s="4"/>
      <c r="J120" s="4"/>
      <c r="K120" s="4">
        <v>205</v>
      </c>
      <c r="L120" s="4">
        <v>14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232</v>
      </c>
      <c r="F121" s="4">
        <f>ROUND(Source!BC105,O121)</f>
        <v>0</v>
      </c>
      <c r="G121" s="4" t="s">
        <v>67</v>
      </c>
      <c r="H121" s="4" t="s">
        <v>68</v>
      </c>
      <c r="I121" s="4"/>
      <c r="J121" s="4"/>
      <c r="K121" s="4">
        <v>232</v>
      </c>
      <c r="L121" s="4">
        <v>15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214</v>
      </c>
      <c r="F122" s="4">
        <f>ROUND(Source!AS105,O122)</f>
        <v>1606416.66</v>
      </c>
      <c r="G122" s="4" t="s">
        <v>69</v>
      </c>
      <c r="H122" s="4" t="s">
        <v>70</v>
      </c>
      <c r="I122" s="4"/>
      <c r="J122" s="4"/>
      <c r="K122" s="4">
        <v>214</v>
      </c>
      <c r="L122" s="4">
        <v>16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215</v>
      </c>
      <c r="F123" s="4">
        <f>ROUND(Source!AT105,O123)</f>
        <v>1235.95</v>
      </c>
      <c r="G123" s="4" t="s">
        <v>71</v>
      </c>
      <c r="H123" s="4" t="s">
        <v>72</v>
      </c>
      <c r="I123" s="4"/>
      <c r="J123" s="4"/>
      <c r="K123" s="4">
        <v>215</v>
      </c>
      <c r="L123" s="4">
        <v>17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1235.95</v>
      </c>
      <c r="X123" s="4">
        <v>1</v>
      </c>
      <c r="Y123" s="4">
        <v>1235.95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217</v>
      </c>
      <c r="F124" s="4">
        <f>ROUND(Source!AU105,O124)</f>
        <v>0</v>
      </c>
      <c r="G124" s="4" t="s">
        <v>73</v>
      </c>
      <c r="H124" s="4" t="s">
        <v>74</v>
      </c>
      <c r="I124" s="4"/>
      <c r="J124" s="4"/>
      <c r="K124" s="4">
        <v>217</v>
      </c>
      <c r="L124" s="4">
        <v>18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230</v>
      </c>
      <c r="F125" s="4">
        <f>ROUND(Source!BA105,O125)</f>
        <v>0</v>
      </c>
      <c r="G125" s="4" t="s">
        <v>75</v>
      </c>
      <c r="H125" s="4" t="s">
        <v>76</v>
      </c>
      <c r="I125" s="4"/>
      <c r="J125" s="4"/>
      <c r="K125" s="4">
        <v>230</v>
      </c>
      <c r="L125" s="4">
        <v>19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206</v>
      </c>
      <c r="F126" s="4">
        <f>ROUND(Source!T105,O126)</f>
        <v>0</v>
      </c>
      <c r="G126" s="4" t="s">
        <v>77</v>
      </c>
      <c r="H126" s="4" t="s">
        <v>78</v>
      </c>
      <c r="I126" s="4"/>
      <c r="J126" s="4"/>
      <c r="K126" s="4">
        <v>206</v>
      </c>
      <c r="L126" s="4">
        <v>20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207</v>
      </c>
      <c r="F127" s="4">
        <f>ROUND(Source!U105,O127)</f>
        <v>0</v>
      </c>
      <c r="G127" s="4" t="s">
        <v>79</v>
      </c>
      <c r="H127" s="4" t="s">
        <v>80</v>
      </c>
      <c r="I127" s="4"/>
      <c r="J127" s="4"/>
      <c r="K127" s="4">
        <v>207</v>
      </c>
      <c r="L127" s="4">
        <v>21</v>
      </c>
      <c r="M127" s="4">
        <v>3</v>
      </c>
      <c r="N127" s="4" t="s">
        <v>3</v>
      </c>
      <c r="O127" s="4">
        <v>7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208</v>
      </c>
      <c r="F128" s="4">
        <f>ROUND(Source!V105,O128)</f>
        <v>0</v>
      </c>
      <c r="G128" s="4" t="s">
        <v>81</v>
      </c>
      <c r="H128" s="4" t="s">
        <v>82</v>
      </c>
      <c r="I128" s="4"/>
      <c r="J128" s="4"/>
      <c r="K128" s="4">
        <v>208</v>
      </c>
      <c r="L128" s="4">
        <v>22</v>
      </c>
      <c r="M128" s="4">
        <v>3</v>
      </c>
      <c r="N128" s="4" t="s">
        <v>3</v>
      </c>
      <c r="O128" s="4">
        <v>7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209</v>
      </c>
      <c r="F129" s="4">
        <f>ROUND(Source!W105,O129)</f>
        <v>0</v>
      </c>
      <c r="G129" s="4" t="s">
        <v>83</v>
      </c>
      <c r="H129" s="4" t="s">
        <v>84</v>
      </c>
      <c r="I129" s="4"/>
      <c r="J129" s="4"/>
      <c r="K129" s="4">
        <v>209</v>
      </c>
      <c r="L129" s="4">
        <v>23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233</v>
      </c>
      <c r="F130" s="4">
        <f>ROUND(Source!BD105,O130)</f>
        <v>0</v>
      </c>
      <c r="G130" s="4" t="s">
        <v>85</v>
      </c>
      <c r="H130" s="4" t="s">
        <v>86</v>
      </c>
      <c r="I130" s="4"/>
      <c r="J130" s="4"/>
      <c r="K130" s="4">
        <v>233</v>
      </c>
      <c r="L130" s="4">
        <v>24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210</v>
      </c>
      <c r="F131" s="4">
        <f>ROUND(Source!X105,O131)</f>
        <v>0</v>
      </c>
      <c r="G131" s="4" t="s">
        <v>87</v>
      </c>
      <c r="H131" s="4" t="s">
        <v>88</v>
      </c>
      <c r="I131" s="4"/>
      <c r="J131" s="4"/>
      <c r="K131" s="4">
        <v>210</v>
      </c>
      <c r="L131" s="4">
        <v>25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211</v>
      </c>
      <c r="F132" s="4">
        <f>ROUND(Source!Y105,O132)</f>
        <v>0</v>
      </c>
      <c r="G132" s="4" t="s">
        <v>89</v>
      </c>
      <c r="H132" s="4" t="s">
        <v>90</v>
      </c>
      <c r="I132" s="4"/>
      <c r="J132" s="4"/>
      <c r="K132" s="4">
        <v>211</v>
      </c>
      <c r="L132" s="4">
        <v>26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224</v>
      </c>
      <c r="F133" s="4">
        <f>ROUND(Source!AR105,O133)</f>
        <v>1607652.61</v>
      </c>
      <c r="G133" s="4" t="s">
        <v>91</v>
      </c>
      <c r="H133" s="4" t="s">
        <v>92</v>
      </c>
      <c r="I133" s="4"/>
      <c r="J133" s="4"/>
      <c r="K133" s="4">
        <v>224</v>
      </c>
      <c r="L133" s="4">
        <v>27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1607652.61</v>
      </c>
      <c r="X133" s="4">
        <v>1</v>
      </c>
      <c r="Y133" s="4">
        <v>1607652.61</v>
      </c>
      <c r="Z133" s="4"/>
      <c r="AA133" s="4"/>
      <c r="AB133" s="4"/>
    </row>
    <row r="135" spans="1:245" x14ac:dyDescent="0.2">
      <c r="A135" s="1">
        <v>4</v>
      </c>
      <c r="B135" s="1">
        <v>1</v>
      </c>
      <c r="C135" s="1"/>
      <c r="D135" s="1">
        <f>ROW(A155)</f>
        <v>155</v>
      </c>
      <c r="E135" s="1"/>
      <c r="F135" s="1" t="s">
        <v>18</v>
      </c>
      <c r="G135" s="1" t="s">
        <v>111</v>
      </c>
      <c r="H135" s="1" t="s">
        <v>3</v>
      </c>
      <c r="I135" s="1">
        <v>0</v>
      </c>
      <c r="J135" s="1"/>
      <c r="K135" s="1">
        <v>-1</v>
      </c>
      <c r="L135" s="1"/>
      <c r="M135" s="1" t="s">
        <v>3</v>
      </c>
      <c r="N135" s="1"/>
      <c r="O135" s="1"/>
      <c r="P135" s="1"/>
      <c r="Q135" s="1"/>
      <c r="R135" s="1"/>
      <c r="S135" s="1">
        <v>0</v>
      </c>
      <c r="T135" s="1"/>
      <c r="U135" s="1" t="s">
        <v>3</v>
      </c>
      <c r="V135" s="1">
        <v>0</v>
      </c>
      <c r="W135" s="1"/>
      <c r="X135" s="1"/>
      <c r="Y135" s="1"/>
      <c r="Z135" s="1"/>
      <c r="AA135" s="1"/>
      <c r="AB135" s="1" t="s">
        <v>3</v>
      </c>
      <c r="AC135" s="1" t="s">
        <v>3</v>
      </c>
      <c r="AD135" s="1" t="s">
        <v>3</v>
      </c>
      <c r="AE135" s="1" t="s">
        <v>3</v>
      </c>
      <c r="AF135" s="1" t="s">
        <v>3</v>
      </c>
      <c r="AG135" s="1" t="s">
        <v>3</v>
      </c>
      <c r="AH135" s="1"/>
      <c r="AI135" s="1"/>
      <c r="AJ135" s="1"/>
      <c r="AK135" s="1"/>
      <c r="AL135" s="1"/>
      <c r="AM135" s="1"/>
      <c r="AN135" s="1"/>
      <c r="AO135" s="1"/>
      <c r="AP135" s="1" t="s">
        <v>3</v>
      </c>
      <c r="AQ135" s="1" t="s">
        <v>3</v>
      </c>
      <c r="AR135" s="1" t="s">
        <v>3</v>
      </c>
      <c r="AS135" s="1"/>
      <c r="AT135" s="1"/>
      <c r="AU135" s="1"/>
      <c r="AV135" s="1"/>
      <c r="AW135" s="1"/>
      <c r="AX135" s="1"/>
      <c r="AY135" s="1"/>
      <c r="AZ135" s="1" t="s">
        <v>3</v>
      </c>
      <c r="BA135" s="1"/>
      <c r="BB135" s="1" t="s">
        <v>3</v>
      </c>
      <c r="BC135" s="1" t="s">
        <v>3</v>
      </c>
      <c r="BD135" s="1" t="s">
        <v>3</v>
      </c>
      <c r="BE135" s="1" t="s">
        <v>3</v>
      </c>
      <c r="BF135" s="1" t="s">
        <v>3</v>
      </c>
      <c r="BG135" s="1" t="s">
        <v>3</v>
      </c>
      <c r="BH135" s="1" t="s">
        <v>3</v>
      </c>
      <c r="BI135" s="1" t="s">
        <v>3</v>
      </c>
      <c r="BJ135" s="1" t="s">
        <v>3</v>
      </c>
      <c r="BK135" s="1" t="s">
        <v>3</v>
      </c>
      <c r="BL135" s="1" t="s">
        <v>3</v>
      </c>
      <c r="BM135" s="1" t="s">
        <v>3</v>
      </c>
      <c r="BN135" s="1" t="s">
        <v>3</v>
      </c>
      <c r="BO135" s="1" t="s">
        <v>3</v>
      </c>
      <c r="BP135" s="1" t="s">
        <v>3</v>
      </c>
      <c r="BQ135" s="1"/>
      <c r="BR135" s="1"/>
      <c r="BS135" s="1"/>
      <c r="BT135" s="1"/>
      <c r="BU135" s="1"/>
      <c r="BV135" s="1"/>
      <c r="BW135" s="1"/>
      <c r="BX135" s="1">
        <v>0</v>
      </c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>
        <v>0</v>
      </c>
    </row>
    <row r="137" spans="1:245" x14ac:dyDescent="0.2">
      <c r="A137" s="2">
        <v>52</v>
      </c>
      <c r="B137" s="2">
        <f t="shared" ref="B137:G137" si="42">B155</f>
        <v>1</v>
      </c>
      <c r="C137" s="2">
        <f t="shared" si="42"/>
        <v>4</v>
      </c>
      <c r="D137" s="2">
        <f t="shared" si="42"/>
        <v>135</v>
      </c>
      <c r="E137" s="2">
        <f t="shared" si="42"/>
        <v>0</v>
      </c>
      <c r="F137" s="2" t="str">
        <f t="shared" si="42"/>
        <v>Новый раздел</v>
      </c>
      <c r="G137" s="2" t="str">
        <f t="shared" si="42"/>
        <v>Пусконаладочные работы</v>
      </c>
      <c r="H137" s="2"/>
      <c r="I137" s="2"/>
      <c r="J137" s="2"/>
      <c r="K137" s="2"/>
      <c r="L137" s="2"/>
      <c r="M137" s="2"/>
      <c r="N137" s="2"/>
      <c r="O137" s="2">
        <f t="shared" ref="O137:AT137" si="43">O155</f>
        <v>118782.69</v>
      </c>
      <c r="P137" s="2">
        <f t="shared" si="43"/>
        <v>0</v>
      </c>
      <c r="Q137" s="2">
        <f t="shared" si="43"/>
        <v>0</v>
      </c>
      <c r="R137" s="2">
        <f t="shared" si="43"/>
        <v>0</v>
      </c>
      <c r="S137" s="2">
        <f t="shared" si="43"/>
        <v>118782.69</v>
      </c>
      <c r="T137" s="2">
        <f t="shared" si="43"/>
        <v>0</v>
      </c>
      <c r="U137" s="2">
        <f t="shared" si="43"/>
        <v>215.31919999999997</v>
      </c>
      <c r="V137" s="2">
        <f t="shared" si="43"/>
        <v>0</v>
      </c>
      <c r="W137" s="2">
        <f t="shared" si="43"/>
        <v>0</v>
      </c>
      <c r="X137" s="2">
        <f t="shared" si="43"/>
        <v>87899.199999999997</v>
      </c>
      <c r="Y137" s="2">
        <f t="shared" si="43"/>
        <v>42761.78</v>
      </c>
      <c r="Z137" s="2">
        <f t="shared" si="43"/>
        <v>0</v>
      </c>
      <c r="AA137" s="2">
        <f t="shared" si="43"/>
        <v>0</v>
      </c>
      <c r="AB137" s="2">
        <f t="shared" si="43"/>
        <v>118782.69</v>
      </c>
      <c r="AC137" s="2">
        <f t="shared" si="43"/>
        <v>0</v>
      </c>
      <c r="AD137" s="2">
        <f t="shared" si="43"/>
        <v>0</v>
      </c>
      <c r="AE137" s="2">
        <f t="shared" si="43"/>
        <v>0</v>
      </c>
      <c r="AF137" s="2">
        <f t="shared" si="43"/>
        <v>118782.69</v>
      </c>
      <c r="AG137" s="2">
        <f t="shared" si="43"/>
        <v>0</v>
      </c>
      <c r="AH137" s="2">
        <f t="shared" si="43"/>
        <v>215.31919999999997</v>
      </c>
      <c r="AI137" s="2">
        <f t="shared" si="43"/>
        <v>0</v>
      </c>
      <c r="AJ137" s="2">
        <f t="shared" si="43"/>
        <v>0</v>
      </c>
      <c r="AK137" s="2">
        <f t="shared" si="43"/>
        <v>87899.199999999997</v>
      </c>
      <c r="AL137" s="2">
        <f t="shared" si="43"/>
        <v>42761.78</v>
      </c>
      <c r="AM137" s="2">
        <f t="shared" si="43"/>
        <v>0</v>
      </c>
      <c r="AN137" s="2">
        <f t="shared" si="43"/>
        <v>0</v>
      </c>
      <c r="AO137" s="2">
        <f t="shared" si="43"/>
        <v>0</v>
      </c>
      <c r="AP137" s="2">
        <f t="shared" si="43"/>
        <v>0</v>
      </c>
      <c r="AQ137" s="2">
        <f t="shared" si="43"/>
        <v>0</v>
      </c>
      <c r="AR137" s="2">
        <f t="shared" si="43"/>
        <v>249443.67</v>
      </c>
      <c r="AS137" s="2">
        <f t="shared" si="43"/>
        <v>0</v>
      </c>
      <c r="AT137" s="2">
        <f t="shared" si="43"/>
        <v>0</v>
      </c>
      <c r="AU137" s="2">
        <f t="shared" ref="AU137:BZ137" si="44">AU155</f>
        <v>249443.67</v>
      </c>
      <c r="AV137" s="2">
        <f t="shared" si="44"/>
        <v>0</v>
      </c>
      <c r="AW137" s="2">
        <f t="shared" si="44"/>
        <v>0</v>
      </c>
      <c r="AX137" s="2">
        <f t="shared" si="44"/>
        <v>0</v>
      </c>
      <c r="AY137" s="2">
        <f t="shared" si="44"/>
        <v>0</v>
      </c>
      <c r="AZ137" s="2">
        <f t="shared" si="44"/>
        <v>0</v>
      </c>
      <c r="BA137" s="2">
        <f t="shared" si="44"/>
        <v>0</v>
      </c>
      <c r="BB137" s="2">
        <f t="shared" si="44"/>
        <v>0</v>
      </c>
      <c r="BC137" s="2">
        <f t="shared" si="44"/>
        <v>0</v>
      </c>
      <c r="BD137" s="2">
        <f t="shared" si="44"/>
        <v>0</v>
      </c>
      <c r="BE137" s="2">
        <f t="shared" si="44"/>
        <v>0</v>
      </c>
      <c r="BF137" s="2">
        <f t="shared" si="44"/>
        <v>0</v>
      </c>
      <c r="BG137" s="2">
        <f t="shared" si="44"/>
        <v>0</v>
      </c>
      <c r="BH137" s="2">
        <f t="shared" si="44"/>
        <v>0</v>
      </c>
      <c r="BI137" s="2">
        <f t="shared" si="44"/>
        <v>0</v>
      </c>
      <c r="BJ137" s="2">
        <f t="shared" si="44"/>
        <v>0</v>
      </c>
      <c r="BK137" s="2">
        <f t="shared" si="44"/>
        <v>0</v>
      </c>
      <c r="BL137" s="2">
        <f t="shared" si="44"/>
        <v>0</v>
      </c>
      <c r="BM137" s="2">
        <f t="shared" si="44"/>
        <v>0</v>
      </c>
      <c r="BN137" s="2">
        <f t="shared" si="44"/>
        <v>0</v>
      </c>
      <c r="BO137" s="2">
        <f t="shared" si="44"/>
        <v>0</v>
      </c>
      <c r="BP137" s="2">
        <f t="shared" si="44"/>
        <v>0</v>
      </c>
      <c r="BQ137" s="2">
        <f t="shared" si="44"/>
        <v>0</v>
      </c>
      <c r="BR137" s="2">
        <f t="shared" si="44"/>
        <v>0</v>
      </c>
      <c r="BS137" s="2">
        <f t="shared" si="44"/>
        <v>0</v>
      </c>
      <c r="BT137" s="2">
        <f t="shared" si="44"/>
        <v>0</v>
      </c>
      <c r="BU137" s="2">
        <f t="shared" si="44"/>
        <v>0</v>
      </c>
      <c r="BV137" s="2">
        <f t="shared" si="44"/>
        <v>0</v>
      </c>
      <c r="BW137" s="2">
        <f t="shared" si="44"/>
        <v>0</v>
      </c>
      <c r="BX137" s="2">
        <f t="shared" si="44"/>
        <v>0</v>
      </c>
      <c r="BY137" s="2">
        <f t="shared" si="44"/>
        <v>0</v>
      </c>
      <c r="BZ137" s="2">
        <f t="shared" si="44"/>
        <v>0</v>
      </c>
      <c r="CA137" s="2">
        <f t="shared" ref="CA137:DF137" si="45">CA155</f>
        <v>249443.67</v>
      </c>
      <c r="CB137" s="2">
        <f t="shared" si="45"/>
        <v>0</v>
      </c>
      <c r="CC137" s="2">
        <f t="shared" si="45"/>
        <v>0</v>
      </c>
      <c r="CD137" s="2">
        <f t="shared" si="45"/>
        <v>249443.67</v>
      </c>
      <c r="CE137" s="2">
        <f t="shared" si="45"/>
        <v>0</v>
      </c>
      <c r="CF137" s="2">
        <f t="shared" si="45"/>
        <v>0</v>
      </c>
      <c r="CG137" s="2">
        <f t="shared" si="45"/>
        <v>0</v>
      </c>
      <c r="CH137" s="2">
        <f t="shared" si="45"/>
        <v>0</v>
      </c>
      <c r="CI137" s="2">
        <f t="shared" si="45"/>
        <v>0</v>
      </c>
      <c r="CJ137" s="2">
        <f t="shared" si="45"/>
        <v>0</v>
      </c>
      <c r="CK137" s="2">
        <f t="shared" si="45"/>
        <v>0</v>
      </c>
      <c r="CL137" s="2">
        <f t="shared" si="45"/>
        <v>0</v>
      </c>
      <c r="CM137" s="2">
        <f t="shared" si="45"/>
        <v>0</v>
      </c>
      <c r="CN137" s="2">
        <f t="shared" si="45"/>
        <v>0</v>
      </c>
      <c r="CO137" s="2">
        <f t="shared" si="45"/>
        <v>0</v>
      </c>
      <c r="CP137" s="2">
        <f t="shared" si="45"/>
        <v>0</v>
      </c>
      <c r="CQ137" s="2">
        <f t="shared" si="45"/>
        <v>0</v>
      </c>
      <c r="CR137" s="2">
        <f t="shared" si="45"/>
        <v>0</v>
      </c>
      <c r="CS137" s="2">
        <f t="shared" si="45"/>
        <v>0</v>
      </c>
      <c r="CT137" s="2">
        <f t="shared" si="45"/>
        <v>0</v>
      </c>
      <c r="CU137" s="2">
        <f t="shared" si="45"/>
        <v>0</v>
      </c>
      <c r="CV137" s="2">
        <f t="shared" si="45"/>
        <v>0</v>
      </c>
      <c r="CW137" s="2">
        <f t="shared" si="45"/>
        <v>0</v>
      </c>
      <c r="CX137" s="2">
        <f t="shared" si="45"/>
        <v>0</v>
      </c>
      <c r="CY137" s="2">
        <f t="shared" si="45"/>
        <v>0</v>
      </c>
      <c r="CZ137" s="2">
        <f t="shared" si="45"/>
        <v>0</v>
      </c>
      <c r="DA137" s="2">
        <f t="shared" si="45"/>
        <v>0</v>
      </c>
      <c r="DB137" s="2">
        <f t="shared" si="45"/>
        <v>0</v>
      </c>
      <c r="DC137" s="2">
        <f t="shared" si="45"/>
        <v>0</v>
      </c>
      <c r="DD137" s="2">
        <f t="shared" si="45"/>
        <v>0</v>
      </c>
      <c r="DE137" s="2">
        <f t="shared" si="45"/>
        <v>0</v>
      </c>
      <c r="DF137" s="2">
        <f t="shared" si="45"/>
        <v>0</v>
      </c>
      <c r="DG137" s="3">
        <f t="shared" ref="DG137:EL137" si="46">DG155</f>
        <v>0</v>
      </c>
      <c r="DH137" s="3">
        <f t="shared" si="46"/>
        <v>0</v>
      </c>
      <c r="DI137" s="3">
        <f t="shared" si="46"/>
        <v>0</v>
      </c>
      <c r="DJ137" s="3">
        <f t="shared" si="46"/>
        <v>0</v>
      </c>
      <c r="DK137" s="3">
        <f t="shared" si="46"/>
        <v>0</v>
      </c>
      <c r="DL137" s="3">
        <f t="shared" si="46"/>
        <v>0</v>
      </c>
      <c r="DM137" s="3">
        <f t="shared" si="46"/>
        <v>0</v>
      </c>
      <c r="DN137" s="3">
        <f t="shared" si="46"/>
        <v>0</v>
      </c>
      <c r="DO137" s="3">
        <f t="shared" si="46"/>
        <v>0</v>
      </c>
      <c r="DP137" s="3">
        <f t="shared" si="46"/>
        <v>0</v>
      </c>
      <c r="DQ137" s="3">
        <f t="shared" si="46"/>
        <v>0</v>
      </c>
      <c r="DR137" s="3">
        <f t="shared" si="46"/>
        <v>0</v>
      </c>
      <c r="DS137" s="3">
        <f t="shared" si="46"/>
        <v>0</v>
      </c>
      <c r="DT137" s="3">
        <f t="shared" si="46"/>
        <v>0</v>
      </c>
      <c r="DU137" s="3">
        <f t="shared" si="46"/>
        <v>0</v>
      </c>
      <c r="DV137" s="3">
        <f t="shared" si="46"/>
        <v>0</v>
      </c>
      <c r="DW137" s="3">
        <f t="shared" si="46"/>
        <v>0</v>
      </c>
      <c r="DX137" s="3">
        <f t="shared" si="46"/>
        <v>0</v>
      </c>
      <c r="DY137" s="3">
        <f t="shared" si="46"/>
        <v>0</v>
      </c>
      <c r="DZ137" s="3">
        <f t="shared" si="46"/>
        <v>0</v>
      </c>
      <c r="EA137" s="3">
        <f t="shared" si="46"/>
        <v>0</v>
      </c>
      <c r="EB137" s="3">
        <f t="shared" si="46"/>
        <v>0</v>
      </c>
      <c r="EC137" s="3">
        <f t="shared" si="46"/>
        <v>0</v>
      </c>
      <c r="ED137" s="3">
        <f t="shared" si="46"/>
        <v>0</v>
      </c>
      <c r="EE137" s="3">
        <f t="shared" si="46"/>
        <v>0</v>
      </c>
      <c r="EF137" s="3">
        <f t="shared" si="46"/>
        <v>0</v>
      </c>
      <c r="EG137" s="3">
        <f t="shared" si="46"/>
        <v>0</v>
      </c>
      <c r="EH137" s="3">
        <f t="shared" si="46"/>
        <v>0</v>
      </c>
      <c r="EI137" s="3">
        <f t="shared" si="46"/>
        <v>0</v>
      </c>
      <c r="EJ137" s="3">
        <f t="shared" si="46"/>
        <v>0</v>
      </c>
      <c r="EK137" s="3">
        <f t="shared" si="46"/>
        <v>0</v>
      </c>
      <c r="EL137" s="3">
        <f t="shared" si="46"/>
        <v>0</v>
      </c>
      <c r="EM137" s="3">
        <f t="shared" ref="EM137:FR137" si="47">EM155</f>
        <v>0</v>
      </c>
      <c r="EN137" s="3">
        <f t="shared" si="47"/>
        <v>0</v>
      </c>
      <c r="EO137" s="3">
        <f t="shared" si="47"/>
        <v>0</v>
      </c>
      <c r="EP137" s="3">
        <f t="shared" si="47"/>
        <v>0</v>
      </c>
      <c r="EQ137" s="3">
        <f t="shared" si="47"/>
        <v>0</v>
      </c>
      <c r="ER137" s="3">
        <f t="shared" si="47"/>
        <v>0</v>
      </c>
      <c r="ES137" s="3">
        <f t="shared" si="47"/>
        <v>0</v>
      </c>
      <c r="ET137" s="3">
        <f t="shared" si="47"/>
        <v>0</v>
      </c>
      <c r="EU137" s="3">
        <f t="shared" si="47"/>
        <v>0</v>
      </c>
      <c r="EV137" s="3">
        <f t="shared" si="47"/>
        <v>0</v>
      </c>
      <c r="EW137" s="3">
        <f t="shared" si="47"/>
        <v>0</v>
      </c>
      <c r="EX137" s="3">
        <f t="shared" si="47"/>
        <v>0</v>
      </c>
      <c r="EY137" s="3">
        <f t="shared" si="47"/>
        <v>0</v>
      </c>
      <c r="EZ137" s="3">
        <f t="shared" si="47"/>
        <v>0</v>
      </c>
      <c r="FA137" s="3">
        <f t="shared" si="47"/>
        <v>0</v>
      </c>
      <c r="FB137" s="3">
        <f t="shared" si="47"/>
        <v>0</v>
      </c>
      <c r="FC137" s="3">
        <f t="shared" si="47"/>
        <v>0</v>
      </c>
      <c r="FD137" s="3">
        <f t="shared" si="47"/>
        <v>0</v>
      </c>
      <c r="FE137" s="3">
        <f t="shared" si="47"/>
        <v>0</v>
      </c>
      <c r="FF137" s="3">
        <f t="shared" si="47"/>
        <v>0</v>
      </c>
      <c r="FG137" s="3">
        <f t="shared" si="47"/>
        <v>0</v>
      </c>
      <c r="FH137" s="3">
        <f t="shared" si="47"/>
        <v>0</v>
      </c>
      <c r="FI137" s="3">
        <f t="shared" si="47"/>
        <v>0</v>
      </c>
      <c r="FJ137" s="3">
        <f t="shared" si="47"/>
        <v>0</v>
      </c>
      <c r="FK137" s="3">
        <f t="shared" si="47"/>
        <v>0</v>
      </c>
      <c r="FL137" s="3">
        <f t="shared" si="47"/>
        <v>0</v>
      </c>
      <c r="FM137" s="3">
        <f t="shared" si="47"/>
        <v>0</v>
      </c>
      <c r="FN137" s="3">
        <f t="shared" si="47"/>
        <v>0</v>
      </c>
      <c r="FO137" s="3">
        <f t="shared" si="47"/>
        <v>0</v>
      </c>
      <c r="FP137" s="3">
        <f t="shared" si="47"/>
        <v>0</v>
      </c>
      <c r="FQ137" s="3">
        <f t="shared" si="47"/>
        <v>0</v>
      </c>
      <c r="FR137" s="3">
        <f t="shared" si="47"/>
        <v>0</v>
      </c>
      <c r="FS137" s="3">
        <f t="shared" ref="FS137:GX137" si="48">FS155</f>
        <v>0</v>
      </c>
      <c r="FT137" s="3">
        <f t="shared" si="48"/>
        <v>0</v>
      </c>
      <c r="FU137" s="3">
        <f t="shared" si="48"/>
        <v>0</v>
      </c>
      <c r="FV137" s="3">
        <f t="shared" si="48"/>
        <v>0</v>
      </c>
      <c r="FW137" s="3">
        <f t="shared" si="48"/>
        <v>0</v>
      </c>
      <c r="FX137" s="3">
        <f t="shared" si="48"/>
        <v>0</v>
      </c>
      <c r="FY137" s="3">
        <f t="shared" si="48"/>
        <v>0</v>
      </c>
      <c r="FZ137" s="3">
        <f t="shared" si="48"/>
        <v>0</v>
      </c>
      <c r="GA137" s="3">
        <f t="shared" si="48"/>
        <v>0</v>
      </c>
      <c r="GB137" s="3">
        <f t="shared" si="48"/>
        <v>0</v>
      </c>
      <c r="GC137" s="3">
        <f t="shared" si="48"/>
        <v>0</v>
      </c>
      <c r="GD137" s="3">
        <f t="shared" si="48"/>
        <v>0</v>
      </c>
      <c r="GE137" s="3">
        <f t="shared" si="48"/>
        <v>0</v>
      </c>
      <c r="GF137" s="3">
        <f t="shared" si="48"/>
        <v>0</v>
      </c>
      <c r="GG137" s="3">
        <f t="shared" si="48"/>
        <v>0</v>
      </c>
      <c r="GH137" s="3">
        <f t="shared" si="48"/>
        <v>0</v>
      </c>
      <c r="GI137" s="3">
        <f t="shared" si="48"/>
        <v>0</v>
      </c>
      <c r="GJ137" s="3">
        <f t="shared" si="48"/>
        <v>0</v>
      </c>
      <c r="GK137" s="3">
        <f t="shared" si="48"/>
        <v>0</v>
      </c>
      <c r="GL137" s="3">
        <f t="shared" si="48"/>
        <v>0</v>
      </c>
      <c r="GM137" s="3">
        <f t="shared" si="48"/>
        <v>0</v>
      </c>
      <c r="GN137" s="3">
        <f t="shared" si="48"/>
        <v>0</v>
      </c>
      <c r="GO137" s="3">
        <f t="shared" si="48"/>
        <v>0</v>
      </c>
      <c r="GP137" s="3">
        <f t="shared" si="48"/>
        <v>0</v>
      </c>
      <c r="GQ137" s="3">
        <f t="shared" si="48"/>
        <v>0</v>
      </c>
      <c r="GR137" s="3">
        <f t="shared" si="48"/>
        <v>0</v>
      </c>
      <c r="GS137" s="3">
        <f t="shared" si="48"/>
        <v>0</v>
      </c>
      <c r="GT137" s="3">
        <f t="shared" si="48"/>
        <v>0</v>
      </c>
      <c r="GU137" s="3">
        <f t="shared" si="48"/>
        <v>0</v>
      </c>
      <c r="GV137" s="3">
        <f t="shared" si="48"/>
        <v>0</v>
      </c>
      <c r="GW137" s="3">
        <f t="shared" si="48"/>
        <v>0</v>
      </c>
      <c r="GX137" s="3">
        <f t="shared" si="48"/>
        <v>0</v>
      </c>
    </row>
    <row r="139" spans="1:245" x14ac:dyDescent="0.2">
      <c r="A139">
        <v>17</v>
      </c>
      <c r="B139">
        <v>1</v>
      </c>
      <c r="C139">
        <f>ROW(SmtRes!A41)</f>
        <v>41</v>
      </c>
      <c r="D139">
        <f>ROW(EtalonRes!A42)</f>
        <v>42</v>
      </c>
      <c r="E139" t="s">
        <v>112</v>
      </c>
      <c r="F139" t="s">
        <v>113</v>
      </c>
      <c r="G139" t="s">
        <v>114</v>
      </c>
      <c r="H139" t="s">
        <v>23</v>
      </c>
      <c r="I139">
        <v>2</v>
      </c>
      <c r="J139">
        <v>0</v>
      </c>
      <c r="K139">
        <v>2</v>
      </c>
      <c r="O139">
        <f t="shared" ref="O139:O153" si="49">ROUND(CP139,2)</f>
        <v>1873.35</v>
      </c>
      <c r="P139">
        <f>SUMIF(SmtRes!AQ40:'SmtRes'!AQ41,"=1",SmtRes!DF40:'SmtRes'!DF41)</f>
        <v>0</v>
      </c>
      <c r="Q139">
        <f>SUMIF(SmtRes!AQ40:'SmtRes'!AQ41,"=1",SmtRes!DG40:'SmtRes'!DG41)</f>
        <v>0</v>
      </c>
      <c r="R139">
        <f>SUMIF(SmtRes!AQ40:'SmtRes'!AQ41,"=1",SmtRes!DH40:'SmtRes'!DH41)</f>
        <v>0</v>
      </c>
      <c r="S139">
        <f>SUMIF(SmtRes!AQ40:'SmtRes'!AQ41,"=1",SmtRes!DI40:'SmtRes'!DI41)</f>
        <v>1873.35</v>
      </c>
      <c r="T139">
        <f t="shared" ref="T139:T153" si="50">ROUND(CU139*I139,2)</f>
        <v>0</v>
      </c>
      <c r="U139">
        <f>SUMIF(SmtRes!AQ40:'SmtRes'!AQ41,"=1",SmtRes!CV40:'SmtRes'!CV41)</f>
        <v>3.24</v>
      </c>
      <c r="V139">
        <f>SUMIF(SmtRes!AQ40:'SmtRes'!AQ41,"=1",SmtRes!CW40:'SmtRes'!CW41)</f>
        <v>0</v>
      </c>
      <c r="W139">
        <f t="shared" ref="W139:W153" si="51">ROUND(CX139*I139,2)</f>
        <v>0</v>
      </c>
      <c r="X139">
        <f t="shared" ref="X139:X153" si="52">ROUND(CY139,2)</f>
        <v>1386.28</v>
      </c>
      <c r="Y139">
        <f t="shared" ref="Y139:Y153" si="53">ROUND(CZ139,2)</f>
        <v>674.41</v>
      </c>
      <c r="AA139">
        <v>61625010</v>
      </c>
      <c r="AB139">
        <f t="shared" ref="AB139:AB153" si="54">ROUND((AC139+AD139+AF139),6)</f>
        <v>936.67589999999996</v>
      </c>
      <c r="AC139">
        <f t="shared" ref="AC139:AC153" si="55">ROUND((0),6)</f>
        <v>0</v>
      </c>
      <c r="AD139">
        <f t="shared" ref="AD139:AD153" si="56">ROUND((((0)-(0))+AE139),6)</f>
        <v>0</v>
      </c>
      <c r="AE139">
        <f t="shared" ref="AE139:AE153" si="57">ROUND((0),6)</f>
        <v>0</v>
      </c>
      <c r="AF139">
        <f>ROUND((SUM(SmtRes!BT40:'SmtRes'!BT41)),6)</f>
        <v>936.67589999999996</v>
      </c>
      <c r="AG139">
        <f t="shared" ref="AG139:AG153" si="58">ROUND((AP139),6)</f>
        <v>0</v>
      </c>
      <c r="AH139">
        <f>(SUM(SmtRes!BU40:'SmtRes'!BU41))</f>
        <v>1.62</v>
      </c>
      <c r="AI139">
        <f>(0)</f>
        <v>0</v>
      </c>
      <c r="AJ139">
        <f t="shared" ref="AJ139:AJ153" si="59">(AS139)</f>
        <v>0</v>
      </c>
      <c r="AK139">
        <v>936.67590000000018</v>
      </c>
      <c r="AL139">
        <v>0</v>
      </c>
      <c r="AM139">
        <v>0</v>
      </c>
      <c r="AN139">
        <v>0</v>
      </c>
      <c r="AO139">
        <v>936.67590000000018</v>
      </c>
      <c r="AP139">
        <v>0</v>
      </c>
      <c r="AQ139">
        <v>1.62</v>
      </c>
      <c r="AR139">
        <v>0</v>
      </c>
      <c r="AS139">
        <v>0</v>
      </c>
      <c r="AT139">
        <v>74</v>
      </c>
      <c r="AU139">
        <v>36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115</v>
      </c>
      <c r="BM139">
        <v>200001</v>
      </c>
      <c r="BN139">
        <v>0</v>
      </c>
      <c r="BO139" t="s">
        <v>3</v>
      </c>
      <c r="BP139">
        <v>0</v>
      </c>
      <c r="BQ139">
        <v>4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74</v>
      </c>
      <c r="CA139">
        <v>36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ref="CP139:CP153" si="60">(P139+Q139+S139+R139)</f>
        <v>1873.35</v>
      </c>
      <c r="CQ139">
        <f>SUMIF(SmtRes!AQ40:'SmtRes'!AQ41,"=1",SmtRes!AA40:'SmtRes'!AA41)</f>
        <v>0</v>
      </c>
      <c r="CR139">
        <f>SUMIF(SmtRes!AQ40:'SmtRes'!AQ41,"=1",SmtRes!AB40:'SmtRes'!AB41)</f>
        <v>0</v>
      </c>
      <c r="CS139">
        <f>SUMIF(SmtRes!AQ40:'SmtRes'!AQ41,"=1",SmtRes!AC40:'SmtRes'!AC41)</f>
        <v>0</v>
      </c>
      <c r="CT139">
        <f>SUMIF(SmtRes!AQ40:'SmtRes'!AQ41,"=1",SmtRes!AD40:'SmtRes'!AD41)</f>
        <v>1156.3900000000001</v>
      </c>
      <c r="CU139">
        <f t="shared" ref="CU139:CU153" si="61">AG139</f>
        <v>0</v>
      </c>
      <c r="CV139">
        <f>SUMIF(SmtRes!AQ40:'SmtRes'!AQ41,"=1",SmtRes!BU40:'SmtRes'!BU41)</f>
        <v>1.62</v>
      </c>
      <c r="CW139">
        <f>SUMIF(SmtRes!AQ40:'SmtRes'!AQ41,"=1",SmtRes!BV40:'SmtRes'!BV41)</f>
        <v>0</v>
      </c>
      <c r="CX139">
        <f t="shared" ref="CX139:CX153" si="62">AJ139</f>
        <v>0</v>
      </c>
      <c r="CY139">
        <f t="shared" ref="CY139:CY153" si="63">(((S139+R139)*AT139)/100)</f>
        <v>1386.279</v>
      </c>
      <c r="CZ139">
        <f t="shared" ref="CZ139:CZ153" si="64">(((S139+R139)*AU139)/100)</f>
        <v>674.40599999999995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1013</v>
      </c>
      <c r="DV139" t="s">
        <v>23</v>
      </c>
      <c r="DW139" t="s">
        <v>23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60393238</v>
      </c>
      <c r="EF139">
        <v>4</v>
      </c>
      <c r="EG139" t="s">
        <v>111</v>
      </c>
      <c r="EH139">
        <v>83</v>
      </c>
      <c r="EI139" t="s">
        <v>111</v>
      </c>
      <c r="EJ139">
        <v>4</v>
      </c>
      <c r="EK139">
        <v>200001</v>
      </c>
      <c r="EL139" t="s">
        <v>116</v>
      </c>
      <c r="EM139" t="s">
        <v>117</v>
      </c>
      <c r="EO139" t="s">
        <v>3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1.62</v>
      </c>
      <c r="EX139">
        <v>0</v>
      </c>
      <c r="EY139">
        <v>0</v>
      </c>
      <c r="FQ139">
        <v>0</v>
      </c>
      <c r="FR139">
        <f t="shared" ref="FR139:FR153" si="65">ROUND(IF(BI139=3,GM139,0),2)</f>
        <v>0</v>
      </c>
      <c r="FS139">
        <v>0</v>
      </c>
      <c r="FX139">
        <v>74</v>
      </c>
      <c r="FY139">
        <v>36</v>
      </c>
      <c r="GA139" t="s">
        <v>3</v>
      </c>
      <c r="GD139">
        <v>1</v>
      </c>
      <c r="GF139">
        <v>937811666</v>
      </c>
      <c r="GG139">
        <v>2</v>
      </c>
      <c r="GH139">
        <v>1</v>
      </c>
      <c r="GI139">
        <v>-2</v>
      </c>
      <c r="GJ139">
        <v>0</v>
      </c>
      <c r="GK139">
        <v>0</v>
      </c>
      <c r="GL139">
        <f t="shared" ref="GL139:GL153" si="66">ROUND(IF(AND(BH139=3,BI139=3,FS139&lt;&gt;0),P139,0),2)</f>
        <v>0</v>
      </c>
      <c r="GM139">
        <f t="shared" ref="GM139:GM153" si="67">ROUND(O139+X139+Y139,2)+GX139</f>
        <v>3934.04</v>
      </c>
      <c r="GN139">
        <f t="shared" ref="GN139:GN153" si="68">IF(OR(BI139=0,BI139=1),GM139-GX139,0)</f>
        <v>0</v>
      </c>
      <c r="GO139">
        <f t="shared" ref="GO139:GO153" si="69">IF(BI139=2,GM139-GX139,0)</f>
        <v>0</v>
      </c>
      <c r="GP139">
        <f t="shared" ref="GP139:GP153" si="70">IF(BI139=4,GM139-GX139,0)</f>
        <v>3934.04</v>
      </c>
      <c r="GR139">
        <v>0</v>
      </c>
      <c r="GS139">
        <v>0</v>
      </c>
      <c r="GT139">
        <v>0</v>
      </c>
      <c r="GU139" t="s">
        <v>3</v>
      </c>
      <c r="GV139">
        <f t="shared" ref="GV139:GV153" si="71">ROUND((GT139),6)</f>
        <v>0</v>
      </c>
      <c r="GW139">
        <v>1</v>
      </c>
      <c r="GX139">
        <f t="shared" ref="GX139:GX153" si="72">ROUND(HC139*I139,2)</f>
        <v>0</v>
      </c>
      <c r="HA139">
        <v>0</v>
      </c>
      <c r="HB139">
        <v>0</v>
      </c>
      <c r="HC139">
        <f t="shared" ref="HC139:HC153" si="73">GV139*GW139</f>
        <v>0</v>
      </c>
      <c r="HE139" t="s">
        <v>3</v>
      </c>
      <c r="HF139" t="s">
        <v>3</v>
      </c>
      <c r="HM139" t="s">
        <v>3</v>
      </c>
      <c r="HN139" t="s">
        <v>118</v>
      </c>
      <c r="HO139" t="s">
        <v>119</v>
      </c>
      <c r="HP139" t="s">
        <v>111</v>
      </c>
      <c r="HQ139" t="s">
        <v>111</v>
      </c>
      <c r="IK139">
        <v>0</v>
      </c>
    </row>
    <row r="140" spans="1:245" x14ac:dyDescent="0.2">
      <c r="A140">
        <v>17</v>
      </c>
      <c r="B140">
        <v>1</v>
      </c>
      <c r="C140">
        <f>ROW(SmtRes!A44)</f>
        <v>44</v>
      </c>
      <c r="D140">
        <f>ROW(EtalonRes!A45)</f>
        <v>45</v>
      </c>
      <c r="E140" t="s">
        <v>120</v>
      </c>
      <c r="F140" t="s">
        <v>121</v>
      </c>
      <c r="G140" t="s">
        <v>122</v>
      </c>
      <c r="H140" t="s">
        <v>23</v>
      </c>
      <c r="I140">
        <v>2</v>
      </c>
      <c r="J140">
        <v>0</v>
      </c>
      <c r="K140">
        <v>2</v>
      </c>
      <c r="O140">
        <f t="shared" si="49"/>
        <v>23855.56</v>
      </c>
      <c r="P140">
        <f>SUMIF(SmtRes!AQ42:'SmtRes'!AQ44,"=1",SmtRes!DF42:'SmtRes'!DF44)</f>
        <v>0</v>
      </c>
      <c r="Q140">
        <f>SUMIF(SmtRes!AQ42:'SmtRes'!AQ44,"=1",SmtRes!DG42:'SmtRes'!DG44)</f>
        <v>0</v>
      </c>
      <c r="R140">
        <f>SUMIF(SmtRes!AQ42:'SmtRes'!AQ44,"=1",SmtRes!DH42:'SmtRes'!DH44)</f>
        <v>0</v>
      </c>
      <c r="S140">
        <f>SUMIF(SmtRes!AQ42:'SmtRes'!AQ44,"=1",SmtRes!DI42:'SmtRes'!DI44)</f>
        <v>23855.56</v>
      </c>
      <c r="T140">
        <f t="shared" si="50"/>
        <v>0</v>
      </c>
      <c r="U140">
        <f>SUMIF(SmtRes!AQ42:'SmtRes'!AQ44,"=1",SmtRes!CV42:'SmtRes'!CV44)</f>
        <v>43.2</v>
      </c>
      <c r="V140">
        <f>SUMIF(SmtRes!AQ42:'SmtRes'!AQ44,"=1",SmtRes!CW42:'SmtRes'!CW44)</f>
        <v>0</v>
      </c>
      <c r="W140">
        <f t="shared" si="51"/>
        <v>0</v>
      </c>
      <c r="X140">
        <f t="shared" si="52"/>
        <v>17653.11</v>
      </c>
      <c r="Y140">
        <f t="shared" si="53"/>
        <v>8588</v>
      </c>
      <c r="AA140">
        <v>61625010</v>
      </c>
      <c r="AB140">
        <f t="shared" si="54"/>
        <v>11927.779200000001</v>
      </c>
      <c r="AC140">
        <f t="shared" si="55"/>
        <v>0</v>
      </c>
      <c r="AD140">
        <f t="shared" si="56"/>
        <v>0</v>
      </c>
      <c r="AE140">
        <f t="shared" si="57"/>
        <v>0</v>
      </c>
      <c r="AF140">
        <f>ROUND((SUM(SmtRes!BT42:'SmtRes'!BT44)),6)</f>
        <v>11927.779200000001</v>
      </c>
      <c r="AG140">
        <f t="shared" si="58"/>
        <v>0</v>
      </c>
      <c r="AH140">
        <f>(SUM(SmtRes!BU42:'SmtRes'!BU44))</f>
        <v>21.6</v>
      </c>
      <c r="AI140">
        <f>(0)</f>
        <v>0</v>
      </c>
      <c r="AJ140">
        <f t="shared" si="59"/>
        <v>0</v>
      </c>
      <c r="AK140">
        <v>11927.779200000001</v>
      </c>
      <c r="AL140">
        <v>0</v>
      </c>
      <c r="AM140">
        <v>0</v>
      </c>
      <c r="AN140">
        <v>0</v>
      </c>
      <c r="AO140">
        <v>11927.779200000001</v>
      </c>
      <c r="AP140">
        <v>0</v>
      </c>
      <c r="AQ140">
        <v>21.6</v>
      </c>
      <c r="AR140">
        <v>0</v>
      </c>
      <c r="AS140">
        <v>0</v>
      </c>
      <c r="AT140">
        <v>74</v>
      </c>
      <c r="AU140">
        <v>36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123</v>
      </c>
      <c r="BM140">
        <v>200001</v>
      </c>
      <c r="BN140">
        <v>0</v>
      </c>
      <c r="BO140" t="s">
        <v>3</v>
      </c>
      <c r="BP140">
        <v>0</v>
      </c>
      <c r="BQ140">
        <v>4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74</v>
      </c>
      <c r="CA140">
        <v>36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60"/>
        <v>23855.56</v>
      </c>
      <c r="CQ140">
        <f>SUMIF(SmtRes!AQ42:'SmtRes'!AQ44,"=1",SmtRes!AA42:'SmtRes'!AA44)</f>
        <v>0</v>
      </c>
      <c r="CR140">
        <f>SUMIF(SmtRes!AQ42:'SmtRes'!AQ44,"=1",SmtRes!AB42:'SmtRes'!AB44)</f>
        <v>0</v>
      </c>
      <c r="CS140">
        <f>SUMIF(SmtRes!AQ42:'SmtRes'!AQ44,"=1",SmtRes!AC42:'SmtRes'!AC44)</f>
        <v>0</v>
      </c>
      <c r="CT140">
        <f>SUMIF(SmtRes!AQ42:'SmtRes'!AQ44,"=1",SmtRes!AD42:'SmtRes'!AD44)</f>
        <v>1487.7199999999998</v>
      </c>
      <c r="CU140">
        <f t="shared" si="61"/>
        <v>0</v>
      </c>
      <c r="CV140">
        <f>SUMIF(SmtRes!AQ42:'SmtRes'!AQ44,"=1",SmtRes!BU42:'SmtRes'!BU44)</f>
        <v>21.6</v>
      </c>
      <c r="CW140">
        <f>SUMIF(SmtRes!AQ42:'SmtRes'!AQ44,"=1",SmtRes!BV42:'SmtRes'!BV44)</f>
        <v>0</v>
      </c>
      <c r="CX140">
        <f t="shared" si="62"/>
        <v>0</v>
      </c>
      <c r="CY140">
        <f t="shared" si="63"/>
        <v>17653.114400000002</v>
      </c>
      <c r="CZ140">
        <f t="shared" si="64"/>
        <v>8588.0015999999996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1013</v>
      </c>
      <c r="DV140" t="s">
        <v>23</v>
      </c>
      <c r="DW140" t="s">
        <v>23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60393238</v>
      </c>
      <c r="EF140">
        <v>4</v>
      </c>
      <c r="EG140" t="s">
        <v>111</v>
      </c>
      <c r="EH140">
        <v>83</v>
      </c>
      <c r="EI140" t="s">
        <v>111</v>
      </c>
      <c r="EJ140">
        <v>4</v>
      </c>
      <c r="EK140">
        <v>200001</v>
      </c>
      <c r="EL140" t="s">
        <v>116</v>
      </c>
      <c r="EM140" t="s">
        <v>117</v>
      </c>
      <c r="EO140" t="s">
        <v>3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21.6</v>
      </c>
      <c r="EX140">
        <v>0</v>
      </c>
      <c r="EY140">
        <v>0</v>
      </c>
      <c r="FQ140">
        <v>0</v>
      </c>
      <c r="FR140">
        <f t="shared" si="65"/>
        <v>0</v>
      </c>
      <c r="FS140">
        <v>0</v>
      </c>
      <c r="FX140">
        <v>74</v>
      </c>
      <c r="FY140">
        <v>36</v>
      </c>
      <c r="GA140" t="s">
        <v>3</v>
      </c>
      <c r="GD140">
        <v>1</v>
      </c>
      <c r="GF140">
        <v>17740226</v>
      </c>
      <c r="GG140">
        <v>2</v>
      </c>
      <c r="GH140">
        <v>1</v>
      </c>
      <c r="GI140">
        <v>-2</v>
      </c>
      <c r="GJ140">
        <v>0</v>
      </c>
      <c r="GK140">
        <v>0</v>
      </c>
      <c r="GL140">
        <f t="shared" si="66"/>
        <v>0</v>
      </c>
      <c r="GM140">
        <f t="shared" si="67"/>
        <v>50096.67</v>
      </c>
      <c r="GN140">
        <f t="shared" si="68"/>
        <v>0</v>
      </c>
      <c r="GO140">
        <f t="shared" si="69"/>
        <v>0</v>
      </c>
      <c r="GP140">
        <f t="shared" si="70"/>
        <v>50096.67</v>
      </c>
      <c r="GR140">
        <v>0</v>
      </c>
      <c r="GS140">
        <v>0</v>
      </c>
      <c r="GT140">
        <v>0</v>
      </c>
      <c r="GU140" t="s">
        <v>3</v>
      </c>
      <c r="GV140">
        <f t="shared" si="71"/>
        <v>0</v>
      </c>
      <c r="GW140">
        <v>1</v>
      </c>
      <c r="GX140">
        <f t="shared" si="72"/>
        <v>0</v>
      </c>
      <c r="HA140">
        <v>0</v>
      </c>
      <c r="HB140">
        <v>0</v>
      </c>
      <c r="HC140">
        <f t="shared" si="73"/>
        <v>0</v>
      </c>
      <c r="HE140" t="s">
        <v>3</v>
      </c>
      <c r="HF140" t="s">
        <v>3</v>
      </c>
      <c r="HM140" t="s">
        <v>3</v>
      </c>
      <c r="HN140" t="s">
        <v>118</v>
      </c>
      <c r="HO140" t="s">
        <v>119</v>
      </c>
      <c r="HP140" t="s">
        <v>111</v>
      </c>
      <c r="HQ140" t="s">
        <v>111</v>
      </c>
      <c r="IK140">
        <v>0</v>
      </c>
    </row>
    <row r="141" spans="1:245" x14ac:dyDescent="0.2">
      <c r="A141">
        <v>17</v>
      </c>
      <c r="B141">
        <v>1</v>
      </c>
      <c r="C141">
        <f>ROW(SmtRes!A47)</f>
        <v>47</v>
      </c>
      <c r="D141">
        <f>ROW(EtalonRes!A48)</f>
        <v>48</v>
      </c>
      <c r="E141" t="s">
        <v>124</v>
      </c>
      <c r="F141" t="s">
        <v>125</v>
      </c>
      <c r="G141" t="s">
        <v>126</v>
      </c>
      <c r="H141" t="s">
        <v>23</v>
      </c>
      <c r="I141">
        <v>6</v>
      </c>
      <c r="J141">
        <v>0</v>
      </c>
      <c r="K141">
        <v>6</v>
      </c>
      <c r="O141">
        <f t="shared" si="49"/>
        <v>17891.66</v>
      </c>
      <c r="P141">
        <f>SUMIF(SmtRes!AQ45:'SmtRes'!AQ47,"=1",SmtRes!DF45:'SmtRes'!DF47)</f>
        <v>0</v>
      </c>
      <c r="Q141">
        <f>SUMIF(SmtRes!AQ45:'SmtRes'!AQ47,"=1",SmtRes!DG45:'SmtRes'!DG47)</f>
        <v>0</v>
      </c>
      <c r="R141">
        <f>SUMIF(SmtRes!AQ45:'SmtRes'!AQ47,"=1",SmtRes!DH45:'SmtRes'!DH47)</f>
        <v>0</v>
      </c>
      <c r="S141">
        <f>SUMIF(SmtRes!AQ45:'SmtRes'!AQ47,"=1",SmtRes!DI45:'SmtRes'!DI47)</f>
        <v>17891.66</v>
      </c>
      <c r="T141">
        <f t="shared" si="50"/>
        <v>0</v>
      </c>
      <c r="U141">
        <f>SUMIF(SmtRes!AQ45:'SmtRes'!AQ47,"=1",SmtRes!CV45:'SmtRes'!CV47)</f>
        <v>32.400000000000006</v>
      </c>
      <c r="V141">
        <f>SUMIF(SmtRes!AQ45:'SmtRes'!AQ47,"=1",SmtRes!CW45:'SmtRes'!CW47)</f>
        <v>0</v>
      </c>
      <c r="W141">
        <f t="shared" si="51"/>
        <v>0</v>
      </c>
      <c r="X141">
        <f t="shared" si="52"/>
        <v>13239.83</v>
      </c>
      <c r="Y141">
        <f t="shared" si="53"/>
        <v>6441</v>
      </c>
      <c r="AA141">
        <v>61625010</v>
      </c>
      <c r="AB141">
        <f t="shared" si="54"/>
        <v>2981.9448000000002</v>
      </c>
      <c r="AC141">
        <f t="shared" si="55"/>
        <v>0</v>
      </c>
      <c r="AD141">
        <f t="shared" si="56"/>
        <v>0</v>
      </c>
      <c r="AE141">
        <f t="shared" si="57"/>
        <v>0</v>
      </c>
      <c r="AF141">
        <f>ROUND((SUM(SmtRes!BT45:'SmtRes'!BT47)),6)</f>
        <v>2981.9448000000002</v>
      </c>
      <c r="AG141">
        <f t="shared" si="58"/>
        <v>0</v>
      </c>
      <c r="AH141">
        <f>(SUM(SmtRes!BU45:'SmtRes'!BU47))</f>
        <v>5.4</v>
      </c>
      <c r="AI141">
        <f>(0)</f>
        <v>0</v>
      </c>
      <c r="AJ141">
        <f t="shared" si="59"/>
        <v>0</v>
      </c>
      <c r="AK141">
        <v>2981.9448000000002</v>
      </c>
      <c r="AL141">
        <v>0</v>
      </c>
      <c r="AM141">
        <v>0</v>
      </c>
      <c r="AN141">
        <v>0</v>
      </c>
      <c r="AO141">
        <v>2981.9448000000002</v>
      </c>
      <c r="AP141">
        <v>0</v>
      </c>
      <c r="AQ141">
        <v>5.4</v>
      </c>
      <c r="AR141">
        <v>0</v>
      </c>
      <c r="AS141">
        <v>0</v>
      </c>
      <c r="AT141">
        <v>74</v>
      </c>
      <c r="AU141">
        <v>36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127</v>
      </c>
      <c r="BM141">
        <v>200001</v>
      </c>
      <c r="BN141">
        <v>0</v>
      </c>
      <c r="BO141" t="s">
        <v>3</v>
      </c>
      <c r="BP141">
        <v>0</v>
      </c>
      <c r="BQ141">
        <v>4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74</v>
      </c>
      <c r="CA141">
        <v>36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60"/>
        <v>17891.66</v>
      </c>
      <c r="CQ141">
        <f>SUMIF(SmtRes!AQ45:'SmtRes'!AQ47,"=1",SmtRes!AA45:'SmtRes'!AA47)</f>
        <v>0</v>
      </c>
      <c r="CR141">
        <f>SUMIF(SmtRes!AQ45:'SmtRes'!AQ47,"=1",SmtRes!AB45:'SmtRes'!AB47)</f>
        <v>0</v>
      </c>
      <c r="CS141">
        <f>SUMIF(SmtRes!AQ45:'SmtRes'!AQ47,"=1",SmtRes!AC45:'SmtRes'!AC47)</f>
        <v>0</v>
      </c>
      <c r="CT141">
        <f>SUMIF(SmtRes!AQ45:'SmtRes'!AQ47,"=1",SmtRes!AD45:'SmtRes'!AD47)</f>
        <v>1487.7199999999998</v>
      </c>
      <c r="CU141">
        <f t="shared" si="61"/>
        <v>0</v>
      </c>
      <c r="CV141">
        <f>SUMIF(SmtRes!AQ45:'SmtRes'!AQ47,"=1",SmtRes!BU45:'SmtRes'!BU47)</f>
        <v>5.4</v>
      </c>
      <c r="CW141">
        <f>SUMIF(SmtRes!AQ45:'SmtRes'!AQ47,"=1",SmtRes!BV45:'SmtRes'!BV47)</f>
        <v>0</v>
      </c>
      <c r="CX141">
        <f t="shared" si="62"/>
        <v>0</v>
      </c>
      <c r="CY141">
        <f t="shared" si="63"/>
        <v>13239.8284</v>
      </c>
      <c r="CZ141">
        <f t="shared" si="64"/>
        <v>6440.9975999999997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1013</v>
      </c>
      <c r="DV141" t="s">
        <v>23</v>
      </c>
      <c r="DW141" t="s">
        <v>23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60393238</v>
      </c>
      <c r="EF141">
        <v>4</v>
      </c>
      <c r="EG141" t="s">
        <v>111</v>
      </c>
      <c r="EH141">
        <v>83</v>
      </c>
      <c r="EI141" t="s">
        <v>111</v>
      </c>
      <c r="EJ141">
        <v>4</v>
      </c>
      <c r="EK141">
        <v>200001</v>
      </c>
      <c r="EL141" t="s">
        <v>116</v>
      </c>
      <c r="EM141" t="s">
        <v>117</v>
      </c>
      <c r="EO141" t="s">
        <v>3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5.4</v>
      </c>
      <c r="EX141">
        <v>0</v>
      </c>
      <c r="EY141">
        <v>0</v>
      </c>
      <c r="FQ141">
        <v>0</v>
      </c>
      <c r="FR141">
        <f t="shared" si="65"/>
        <v>0</v>
      </c>
      <c r="FS141">
        <v>0</v>
      </c>
      <c r="FX141">
        <v>74</v>
      </c>
      <c r="FY141">
        <v>36</v>
      </c>
      <c r="GA141" t="s">
        <v>3</v>
      </c>
      <c r="GD141">
        <v>1</v>
      </c>
      <c r="GF141">
        <v>-1500033435</v>
      </c>
      <c r="GG141">
        <v>2</v>
      </c>
      <c r="GH141">
        <v>1</v>
      </c>
      <c r="GI141">
        <v>-2</v>
      </c>
      <c r="GJ141">
        <v>0</v>
      </c>
      <c r="GK141">
        <v>0</v>
      </c>
      <c r="GL141">
        <f t="shared" si="66"/>
        <v>0</v>
      </c>
      <c r="GM141">
        <f t="shared" si="67"/>
        <v>37572.49</v>
      </c>
      <c r="GN141">
        <f t="shared" si="68"/>
        <v>0</v>
      </c>
      <c r="GO141">
        <f t="shared" si="69"/>
        <v>0</v>
      </c>
      <c r="GP141">
        <f t="shared" si="70"/>
        <v>37572.49</v>
      </c>
      <c r="GR141">
        <v>0</v>
      </c>
      <c r="GS141">
        <v>0</v>
      </c>
      <c r="GT141">
        <v>0</v>
      </c>
      <c r="GU141" t="s">
        <v>3</v>
      </c>
      <c r="GV141">
        <f t="shared" si="71"/>
        <v>0</v>
      </c>
      <c r="GW141">
        <v>1</v>
      </c>
      <c r="GX141">
        <f t="shared" si="72"/>
        <v>0</v>
      </c>
      <c r="HA141">
        <v>0</v>
      </c>
      <c r="HB141">
        <v>0</v>
      </c>
      <c r="HC141">
        <f t="shared" si="73"/>
        <v>0</v>
      </c>
      <c r="HE141" t="s">
        <v>3</v>
      </c>
      <c r="HF141" t="s">
        <v>3</v>
      </c>
      <c r="HM141" t="s">
        <v>3</v>
      </c>
      <c r="HN141" t="s">
        <v>118</v>
      </c>
      <c r="HO141" t="s">
        <v>119</v>
      </c>
      <c r="HP141" t="s">
        <v>111</v>
      </c>
      <c r="HQ141" t="s">
        <v>111</v>
      </c>
      <c r="IK141">
        <v>0</v>
      </c>
    </row>
    <row r="142" spans="1:245" x14ac:dyDescent="0.2">
      <c r="A142">
        <v>17</v>
      </c>
      <c r="B142">
        <v>1</v>
      </c>
      <c r="C142">
        <f>ROW(SmtRes!A49)</f>
        <v>49</v>
      </c>
      <c r="D142">
        <f>ROW(EtalonRes!A50)</f>
        <v>50</v>
      </c>
      <c r="E142" t="s">
        <v>128</v>
      </c>
      <c r="F142" t="s">
        <v>129</v>
      </c>
      <c r="G142" t="s">
        <v>130</v>
      </c>
      <c r="H142" t="s">
        <v>131</v>
      </c>
      <c r="I142">
        <v>6</v>
      </c>
      <c r="J142">
        <v>0</v>
      </c>
      <c r="K142">
        <v>6</v>
      </c>
      <c r="O142">
        <f t="shared" si="49"/>
        <v>22615.9</v>
      </c>
      <c r="P142">
        <f>SUMIF(SmtRes!AQ48:'SmtRes'!AQ49,"=1",SmtRes!DF48:'SmtRes'!DF49)</f>
        <v>0</v>
      </c>
      <c r="Q142">
        <f>SUMIF(SmtRes!AQ48:'SmtRes'!AQ49,"=1",SmtRes!DG48:'SmtRes'!DG49)</f>
        <v>0</v>
      </c>
      <c r="R142">
        <f>SUMIF(SmtRes!AQ48:'SmtRes'!AQ49,"=1",SmtRes!DH48:'SmtRes'!DH49)</f>
        <v>0</v>
      </c>
      <c r="S142">
        <f>SUMIF(SmtRes!AQ48:'SmtRes'!AQ49,"=1",SmtRes!DI48:'SmtRes'!DI49)</f>
        <v>22615.9</v>
      </c>
      <c r="T142">
        <f t="shared" si="50"/>
        <v>0</v>
      </c>
      <c r="U142">
        <f>SUMIF(SmtRes!AQ48:'SmtRes'!AQ49,"=1",SmtRes!CV48:'SmtRes'!CV49)</f>
        <v>43.739999999999995</v>
      </c>
      <c r="V142">
        <f>SUMIF(SmtRes!AQ48:'SmtRes'!AQ49,"=1",SmtRes!CW48:'SmtRes'!CW49)</f>
        <v>0</v>
      </c>
      <c r="W142">
        <f t="shared" si="51"/>
        <v>0</v>
      </c>
      <c r="X142">
        <f t="shared" si="52"/>
        <v>16735.77</v>
      </c>
      <c r="Y142">
        <f t="shared" si="53"/>
        <v>8141.72</v>
      </c>
      <c r="AA142">
        <v>61625010</v>
      </c>
      <c r="AB142">
        <f t="shared" si="54"/>
        <v>3769.3173999999999</v>
      </c>
      <c r="AC142">
        <f t="shared" si="55"/>
        <v>0</v>
      </c>
      <c r="AD142">
        <f t="shared" si="56"/>
        <v>0</v>
      </c>
      <c r="AE142">
        <f t="shared" si="57"/>
        <v>0</v>
      </c>
      <c r="AF142">
        <f>ROUND((SUM(SmtRes!BT48:'SmtRes'!BT49)),6)</f>
        <v>3769.3173999999999</v>
      </c>
      <c r="AG142">
        <f t="shared" si="58"/>
        <v>0</v>
      </c>
      <c r="AH142">
        <f>(SUM(SmtRes!BU48:'SmtRes'!BU49))</f>
        <v>7.29</v>
      </c>
      <c r="AI142">
        <f>(0)</f>
        <v>0</v>
      </c>
      <c r="AJ142">
        <f t="shared" si="59"/>
        <v>0</v>
      </c>
      <c r="AK142">
        <v>3769.3173999999999</v>
      </c>
      <c r="AL142">
        <v>0</v>
      </c>
      <c r="AM142">
        <v>0</v>
      </c>
      <c r="AN142">
        <v>0</v>
      </c>
      <c r="AO142">
        <v>3769.3173999999999</v>
      </c>
      <c r="AP142">
        <v>0</v>
      </c>
      <c r="AQ142">
        <v>7.29</v>
      </c>
      <c r="AR142">
        <v>0</v>
      </c>
      <c r="AS142">
        <v>0</v>
      </c>
      <c r="AT142">
        <v>74</v>
      </c>
      <c r="AU142">
        <v>36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132</v>
      </c>
      <c r="BM142">
        <v>200001</v>
      </c>
      <c r="BN142">
        <v>0</v>
      </c>
      <c r="BO142" t="s">
        <v>3</v>
      </c>
      <c r="BP142">
        <v>0</v>
      </c>
      <c r="BQ142">
        <v>4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74</v>
      </c>
      <c r="CA142">
        <v>36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60"/>
        <v>22615.9</v>
      </c>
      <c r="CQ142">
        <f>SUMIF(SmtRes!AQ48:'SmtRes'!AQ49,"=1",SmtRes!AA48:'SmtRes'!AA49)</f>
        <v>0</v>
      </c>
      <c r="CR142">
        <f>SUMIF(SmtRes!AQ48:'SmtRes'!AQ49,"=1",SmtRes!AB48:'SmtRes'!AB49)</f>
        <v>0</v>
      </c>
      <c r="CS142">
        <f>SUMIF(SmtRes!AQ48:'SmtRes'!AQ49,"=1",SmtRes!AC48:'SmtRes'!AC49)</f>
        <v>0</v>
      </c>
      <c r="CT142">
        <f>SUMIF(SmtRes!AQ48:'SmtRes'!AQ49,"=1",SmtRes!AD48:'SmtRes'!AD49)</f>
        <v>1006.97</v>
      </c>
      <c r="CU142">
        <f t="shared" si="61"/>
        <v>0</v>
      </c>
      <c r="CV142">
        <f>SUMIF(SmtRes!AQ48:'SmtRes'!AQ49,"=1",SmtRes!BU48:'SmtRes'!BU49)</f>
        <v>7.29</v>
      </c>
      <c r="CW142">
        <f>SUMIF(SmtRes!AQ48:'SmtRes'!AQ49,"=1",SmtRes!BV48:'SmtRes'!BV49)</f>
        <v>0</v>
      </c>
      <c r="CX142">
        <f t="shared" si="62"/>
        <v>0</v>
      </c>
      <c r="CY142">
        <f t="shared" si="63"/>
        <v>16735.766</v>
      </c>
      <c r="CZ142">
        <f t="shared" si="64"/>
        <v>8141.7240000000002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1013</v>
      </c>
      <c r="DV142" t="s">
        <v>131</v>
      </c>
      <c r="DW142" t="s">
        <v>131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60393238</v>
      </c>
      <c r="EF142">
        <v>4</v>
      </c>
      <c r="EG142" t="s">
        <v>111</v>
      </c>
      <c r="EH142">
        <v>83</v>
      </c>
      <c r="EI142" t="s">
        <v>111</v>
      </c>
      <c r="EJ142">
        <v>4</v>
      </c>
      <c r="EK142">
        <v>200001</v>
      </c>
      <c r="EL142" t="s">
        <v>116</v>
      </c>
      <c r="EM142" t="s">
        <v>117</v>
      </c>
      <c r="EO142" t="s">
        <v>3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7.29</v>
      </c>
      <c r="EX142">
        <v>0</v>
      </c>
      <c r="EY142">
        <v>0</v>
      </c>
      <c r="FQ142">
        <v>0</v>
      </c>
      <c r="FR142">
        <f t="shared" si="65"/>
        <v>0</v>
      </c>
      <c r="FS142">
        <v>0</v>
      </c>
      <c r="FX142">
        <v>74</v>
      </c>
      <c r="FY142">
        <v>36</v>
      </c>
      <c r="GA142" t="s">
        <v>3</v>
      </c>
      <c r="GD142">
        <v>1</v>
      </c>
      <c r="GF142">
        <v>-2012809413</v>
      </c>
      <c r="GG142">
        <v>2</v>
      </c>
      <c r="GH142">
        <v>1</v>
      </c>
      <c r="GI142">
        <v>-2</v>
      </c>
      <c r="GJ142">
        <v>0</v>
      </c>
      <c r="GK142">
        <v>0</v>
      </c>
      <c r="GL142">
        <f t="shared" si="66"/>
        <v>0</v>
      </c>
      <c r="GM142">
        <f t="shared" si="67"/>
        <v>47493.39</v>
      </c>
      <c r="GN142">
        <f t="shared" si="68"/>
        <v>0</v>
      </c>
      <c r="GO142">
        <f t="shared" si="69"/>
        <v>0</v>
      </c>
      <c r="GP142">
        <f t="shared" si="70"/>
        <v>47493.39</v>
      </c>
      <c r="GR142">
        <v>0</v>
      </c>
      <c r="GS142">
        <v>0</v>
      </c>
      <c r="GT142">
        <v>0</v>
      </c>
      <c r="GU142" t="s">
        <v>3</v>
      </c>
      <c r="GV142">
        <f t="shared" si="71"/>
        <v>0</v>
      </c>
      <c r="GW142">
        <v>1</v>
      </c>
      <c r="GX142">
        <f t="shared" si="72"/>
        <v>0</v>
      </c>
      <c r="HA142">
        <v>0</v>
      </c>
      <c r="HB142">
        <v>0</v>
      </c>
      <c r="HC142">
        <f t="shared" si="73"/>
        <v>0</v>
      </c>
      <c r="HE142" t="s">
        <v>3</v>
      </c>
      <c r="HF142" t="s">
        <v>3</v>
      </c>
      <c r="HM142" t="s">
        <v>3</v>
      </c>
      <c r="HN142" t="s">
        <v>118</v>
      </c>
      <c r="HO142" t="s">
        <v>119</v>
      </c>
      <c r="HP142" t="s">
        <v>111</v>
      </c>
      <c r="HQ142" t="s">
        <v>111</v>
      </c>
      <c r="IK142">
        <v>0</v>
      </c>
    </row>
    <row r="143" spans="1:245" x14ac:dyDescent="0.2">
      <c r="A143">
        <v>17</v>
      </c>
      <c r="B143">
        <v>1</v>
      </c>
      <c r="C143">
        <f>ROW(SmtRes!A51)</f>
        <v>51</v>
      </c>
      <c r="D143">
        <f>ROW(EtalonRes!A52)</f>
        <v>52</v>
      </c>
      <c r="E143" t="s">
        <v>133</v>
      </c>
      <c r="F143" t="s">
        <v>134</v>
      </c>
      <c r="G143" t="s">
        <v>135</v>
      </c>
      <c r="H143" t="s">
        <v>136</v>
      </c>
      <c r="I143">
        <v>2</v>
      </c>
      <c r="J143">
        <v>0</v>
      </c>
      <c r="K143">
        <v>2</v>
      </c>
      <c r="O143">
        <f t="shared" si="49"/>
        <v>15608</v>
      </c>
      <c r="P143">
        <f>SUMIF(SmtRes!AQ50:'SmtRes'!AQ51,"=1",SmtRes!DF50:'SmtRes'!DF51)</f>
        <v>0</v>
      </c>
      <c r="Q143">
        <f>SUMIF(SmtRes!AQ50:'SmtRes'!AQ51,"=1",SmtRes!DG50:'SmtRes'!DG51)</f>
        <v>0</v>
      </c>
      <c r="R143">
        <f>SUMIF(SmtRes!AQ50:'SmtRes'!AQ51,"=1",SmtRes!DH50:'SmtRes'!DH51)</f>
        <v>0</v>
      </c>
      <c r="S143">
        <f>SUMIF(SmtRes!AQ50:'SmtRes'!AQ51,"=1",SmtRes!DI50:'SmtRes'!DI51)</f>
        <v>15608</v>
      </c>
      <c r="T143">
        <f t="shared" si="50"/>
        <v>0</v>
      </c>
      <c r="U143">
        <f>SUMIF(SmtRes!AQ50:'SmtRes'!AQ51,"=1",SmtRes!CV50:'SmtRes'!CV51)</f>
        <v>27.36</v>
      </c>
      <c r="V143">
        <f>SUMIF(SmtRes!AQ50:'SmtRes'!AQ51,"=1",SmtRes!CW50:'SmtRes'!CW51)</f>
        <v>0</v>
      </c>
      <c r="W143">
        <f t="shared" si="51"/>
        <v>0</v>
      </c>
      <c r="X143">
        <f t="shared" si="52"/>
        <v>11549.92</v>
      </c>
      <c r="Y143">
        <f t="shared" si="53"/>
        <v>5618.88</v>
      </c>
      <c r="AA143">
        <v>61625010</v>
      </c>
      <c r="AB143">
        <f t="shared" si="54"/>
        <v>7803.9966000000004</v>
      </c>
      <c r="AC143">
        <f t="shared" si="55"/>
        <v>0</v>
      </c>
      <c r="AD143">
        <f t="shared" si="56"/>
        <v>0</v>
      </c>
      <c r="AE143">
        <f t="shared" si="57"/>
        <v>0</v>
      </c>
      <c r="AF143">
        <f>ROUND((SUM(SmtRes!BT50:'SmtRes'!BT51)),6)</f>
        <v>7803.9966000000004</v>
      </c>
      <c r="AG143">
        <f t="shared" si="58"/>
        <v>0</v>
      </c>
      <c r="AH143">
        <f>(SUM(SmtRes!BU50:'SmtRes'!BU51))</f>
        <v>13.68</v>
      </c>
      <c r="AI143">
        <f>(0)</f>
        <v>0</v>
      </c>
      <c r="AJ143">
        <f t="shared" si="59"/>
        <v>0</v>
      </c>
      <c r="AK143">
        <v>7803.9965999999995</v>
      </c>
      <c r="AL143">
        <v>0</v>
      </c>
      <c r="AM143">
        <v>0</v>
      </c>
      <c r="AN143">
        <v>0</v>
      </c>
      <c r="AO143">
        <v>7803.9965999999995</v>
      </c>
      <c r="AP143">
        <v>0</v>
      </c>
      <c r="AQ143">
        <v>13.68</v>
      </c>
      <c r="AR143">
        <v>0</v>
      </c>
      <c r="AS143">
        <v>0</v>
      </c>
      <c r="AT143">
        <v>74</v>
      </c>
      <c r="AU143">
        <v>36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137</v>
      </c>
      <c r="BM143">
        <v>200001</v>
      </c>
      <c r="BN143">
        <v>0</v>
      </c>
      <c r="BO143" t="s">
        <v>3</v>
      </c>
      <c r="BP143">
        <v>0</v>
      </c>
      <c r="BQ143">
        <v>4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74</v>
      </c>
      <c r="CA143">
        <v>36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60"/>
        <v>15608</v>
      </c>
      <c r="CQ143">
        <f>SUMIF(SmtRes!AQ50:'SmtRes'!AQ51,"=1",SmtRes!AA50:'SmtRes'!AA51)</f>
        <v>0</v>
      </c>
      <c r="CR143">
        <f>SUMIF(SmtRes!AQ50:'SmtRes'!AQ51,"=1",SmtRes!AB50:'SmtRes'!AB51)</f>
        <v>0</v>
      </c>
      <c r="CS143">
        <f>SUMIF(SmtRes!AQ50:'SmtRes'!AQ51,"=1",SmtRes!AC50:'SmtRes'!AC51)</f>
        <v>0</v>
      </c>
      <c r="CT143">
        <f>SUMIF(SmtRes!AQ50:'SmtRes'!AQ51,"=1",SmtRes!AD50:'SmtRes'!AD51)</f>
        <v>1052.4499999999998</v>
      </c>
      <c r="CU143">
        <f t="shared" si="61"/>
        <v>0</v>
      </c>
      <c r="CV143">
        <f>SUMIF(SmtRes!AQ50:'SmtRes'!AQ51,"=1",SmtRes!BU50:'SmtRes'!BU51)</f>
        <v>13.68</v>
      </c>
      <c r="CW143">
        <f>SUMIF(SmtRes!AQ50:'SmtRes'!AQ51,"=1",SmtRes!BV50:'SmtRes'!BV51)</f>
        <v>0</v>
      </c>
      <c r="CX143">
        <f t="shared" si="62"/>
        <v>0</v>
      </c>
      <c r="CY143">
        <f t="shared" si="63"/>
        <v>11549.92</v>
      </c>
      <c r="CZ143">
        <f t="shared" si="64"/>
        <v>5618.88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136</v>
      </c>
      <c r="DW143" t="s">
        <v>136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60393238</v>
      </c>
      <c r="EF143">
        <v>4</v>
      </c>
      <c r="EG143" t="s">
        <v>111</v>
      </c>
      <c r="EH143">
        <v>83</v>
      </c>
      <c r="EI143" t="s">
        <v>111</v>
      </c>
      <c r="EJ143">
        <v>4</v>
      </c>
      <c r="EK143">
        <v>200001</v>
      </c>
      <c r="EL143" t="s">
        <v>116</v>
      </c>
      <c r="EM143" t="s">
        <v>117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13.68</v>
      </c>
      <c r="EX143">
        <v>0</v>
      </c>
      <c r="EY143">
        <v>0</v>
      </c>
      <c r="FQ143">
        <v>0</v>
      </c>
      <c r="FR143">
        <f t="shared" si="65"/>
        <v>0</v>
      </c>
      <c r="FS143">
        <v>0</v>
      </c>
      <c r="FX143">
        <v>74</v>
      </c>
      <c r="FY143">
        <v>36</v>
      </c>
      <c r="GA143" t="s">
        <v>3</v>
      </c>
      <c r="GD143">
        <v>1</v>
      </c>
      <c r="GF143">
        <v>-632950478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si="66"/>
        <v>0</v>
      </c>
      <c r="GM143">
        <f t="shared" si="67"/>
        <v>32776.800000000003</v>
      </c>
      <c r="GN143">
        <f t="shared" si="68"/>
        <v>0</v>
      </c>
      <c r="GO143">
        <f t="shared" si="69"/>
        <v>0</v>
      </c>
      <c r="GP143">
        <f t="shared" si="70"/>
        <v>32776.800000000003</v>
      </c>
      <c r="GR143">
        <v>0</v>
      </c>
      <c r="GS143">
        <v>0</v>
      </c>
      <c r="GT143">
        <v>0</v>
      </c>
      <c r="GU143" t="s">
        <v>3</v>
      </c>
      <c r="GV143">
        <f t="shared" si="71"/>
        <v>0</v>
      </c>
      <c r="GW143">
        <v>1</v>
      </c>
      <c r="GX143">
        <f t="shared" si="72"/>
        <v>0</v>
      </c>
      <c r="HA143">
        <v>0</v>
      </c>
      <c r="HB143">
        <v>0</v>
      </c>
      <c r="HC143">
        <f t="shared" si="73"/>
        <v>0</v>
      </c>
      <c r="HE143" t="s">
        <v>3</v>
      </c>
      <c r="HF143" t="s">
        <v>3</v>
      </c>
      <c r="HM143" t="s">
        <v>3</v>
      </c>
      <c r="HN143" t="s">
        <v>118</v>
      </c>
      <c r="HO143" t="s">
        <v>119</v>
      </c>
      <c r="HP143" t="s">
        <v>111</v>
      </c>
      <c r="HQ143" t="s">
        <v>111</v>
      </c>
      <c r="IK143">
        <v>0</v>
      </c>
    </row>
    <row r="144" spans="1:245" x14ac:dyDescent="0.2">
      <c r="A144">
        <v>17</v>
      </c>
      <c r="B144">
        <v>1</v>
      </c>
      <c r="C144">
        <f>ROW(SmtRes!A52)</f>
        <v>52</v>
      </c>
      <c r="D144">
        <f>ROW(EtalonRes!A53)</f>
        <v>53</v>
      </c>
      <c r="E144" t="s">
        <v>138</v>
      </c>
      <c r="F144" t="s">
        <v>139</v>
      </c>
      <c r="G144" t="s">
        <v>140</v>
      </c>
      <c r="H144" t="s">
        <v>136</v>
      </c>
      <c r="I144">
        <v>2</v>
      </c>
      <c r="J144">
        <v>0</v>
      </c>
      <c r="K144">
        <v>2</v>
      </c>
      <c r="O144">
        <f t="shared" si="49"/>
        <v>4939.49</v>
      </c>
      <c r="P144">
        <f>SUMIF(SmtRes!AQ52:'SmtRes'!AQ52,"=1",SmtRes!DF52:'SmtRes'!DF52)</f>
        <v>0</v>
      </c>
      <c r="Q144">
        <f>SUMIF(SmtRes!AQ52:'SmtRes'!AQ52,"=1",SmtRes!DG52:'SmtRes'!DG52)</f>
        <v>0</v>
      </c>
      <c r="R144">
        <f>SUMIF(SmtRes!AQ52:'SmtRes'!AQ52,"=1",SmtRes!DH52:'SmtRes'!DH52)</f>
        <v>0</v>
      </c>
      <c r="S144">
        <f>SUMIF(SmtRes!AQ52:'SmtRes'!AQ52,"=1",SmtRes!DI52:'SmtRes'!DI52)</f>
        <v>4939.49</v>
      </c>
      <c r="T144">
        <f t="shared" si="50"/>
        <v>0</v>
      </c>
      <c r="U144">
        <f>SUMIF(SmtRes!AQ52:'SmtRes'!AQ52,"=1",SmtRes!CV52:'SmtRes'!CV52)</f>
        <v>8.64</v>
      </c>
      <c r="V144">
        <f>SUMIF(SmtRes!AQ52:'SmtRes'!AQ52,"=1",SmtRes!CW52:'SmtRes'!CW52)</f>
        <v>0</v>
      </c>
      <c r="W144">
        <f t="shared" si="51"/>
        <v>0</v>
      </c>
      <c r="X144">
        <f t="shared" si="52"/>
        <v>3655.22</v>
      </c>
      <c r="Y144">
        <f t="shared" si="53"/>
        <v>1778.22</v>
      </c>
      <c r="AA144">
        <v>61625010</v>
      </c>
      <c r="AB144">
        <f t="shared" si="54"/>
        <v>2469.7440000000001</v>
      </c>
      <c r="AC144">
        <f t="shared" si="55"/>
        <v>0</v>
      </c>
      <c r="AD144">
        <f t="shared" si="56"/>
        <v>0</v>
      </c>
      <c r="AE144">
        <f t="shared" si="57"/>
        <v>0</v>
      </c>
      <c r="AF144">
        <f>ROUND((SUM(SmtRes!BT52:'SmtRes'!BT52)),6)</f>
        <v>2469.7440000000001</v>
      </c>
      <c r="AG144">
        <f t="shared" si="58"/>
        <v>0</v>
      </c>
      <c r="AH144">
        <f>(SUM(SmtRes!BU52:'SmtRes'!BU52))</f>
        <v>4.32</v>
      </c>
      <c r="AI144">
        <f>(0)</f>
        <v>0</v>
      </c>
      <c r="AJ144">
        <f t="shared" si="59"/>
        <v>0</v>
      </c>
      <c r="AK144">
        <v>2469.7440000000001</v>
      </c>
      <c r="AL144">
        <v>0</v>
      </c>
      <c r="AM144">
        <v>0</v>
      </c>
      <c r="AN144">
        <v>0</v>
      </c>
      <c r="AO144">
        <v>2469.7440000000001</v>
      </c>
      <c r="AP144">
        <v>0</v>
      </c>
      <c r="AQ144">
        <v>4.32</v>
      </c>
      <c r="AR144">
        <v>0</v>
      </c>
      <c r="AS144">
        <v>0</v>
      </c>
      <c r="AT144">
        <v>74</v>
      </c>
      <c r="AU144">
        <v>36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141</v>
      </c>
      <c r="BM144">
        <v>200001</v>
      </c>
      <c r="BN144">
        <v>0</v>
      </c>
      <c r="BO144" t="s">
        <v>3</v>
      </c>
      <c r="BP144">
        <v>0</v>
      </c>
      <c r="BQ144">
        <v>4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74</v>
      </c>
      <c r="CA144">
        <v>36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60"/>
        <v>4939.49</v>
      </c>
      <c r="CQ144">
        <f>SUMIF(SmtRes!AQ52:'SmtRes'!AQ52,"=1",SmtRes!AA52:'SmtRes'!AA52)</f>
        <v>0</v>
      </c>
      <c r="CR144">
        <f>SUMIF(SmtRes!AQ52:'SmtRes'!AQ52,"=1",SmtRes!AB52:'SmtRes'!AB52)</f>
        <v>0</v>
      </c>
      <c r="CS144">
        <f>SUMIF(SmtRes!AQ52:'SmtRes'!AQ52,"=1",SmtRes!AC52:'SmtRes'!AC52)</f>
        <v>0</v>
      </c>
      <c r="CT144">
        <f>SUMIF(SmtRes!AQ52:'SmtRes'!AQ52,"=1",SmtRes!AD52:'SmtRes'!AD52)</f>
        <v>571.70000000000005</v>
      </c>
      <c r="CU144">
        <f t="shared" si="61"/>
        <v>0</v>
      </c>
      <c r="CV144">
        <f>SUMIF(SmtRes!AQ52:'SmtRes'!AQ52,"=1",SmtRes!BU52:'SmtRes'!BU52)</f>
        <v>4.32</v>
      </c>
      <c r="CW144">
        <f>SUMIF(SmtRes!AQ52:'SmtRes'!AQ52,"=1",SmtRes!BV52:'SmtRes'!BV52)</f>
        <v>0</v>
      </c>
      <c r="CX144">
        <f t="shared" si="62"/>
        <v>0</v>
      </c>
      <c r="CY144">
        <f t="shared" si="63"/>
        <v>3655.2226000000001</v>
      </c>
      <c r="CZ144">
        <f t="shared" si="64"/>
        <v>1778.2163999999998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136</v>
      </c>
      <c r="DW144" t="s">
        <v>136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60393238</v>
      </c>
      <c r="EF144">
        <v>4</v>
      </c>
      <c r="EG144" t="s">
        <v>111</v>
      </c>
      <c r="EH144">
        <v>83</v>
      </c>
      <c r="EI144" t="s">
        <v>111</v>
      </c>
      <c r="EJ144">
        <v>4</v>
      </c>
      <c r="EK144">
        <v>200001</v>
      </c>
      <c r="EL144" t="s">
        <v>116</v>
      </c>
      <c r="EM144" t="s">
        <v>117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4.32</v>
      </c>
      <c r="EX144">
        <v>0</v>
      </c>
      <c r="EY144">
        <v>0</v>
      </c>
      <c r="FQ144">
        <v>0</v>
      </c>
      <c r="FR144">
        <f t="shared" si="65"/>
        <v>0</v>
      </c>
      <c r="FS144">
        <v>0</v>
      </c>
      <c r="FX144">
        <v>74</v>
      </c>
      <c r="FY144">
        <v>36</v>
      </c>
      <c r="GA144" t="s">
        <v>3</v>
      </c>
      <c r="GD144">
        <v>1</v>
      </c>
      <c r="GF144">
        <v>-711329330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66"/>
        <v>0</v>
      </c>
      <c r="GM144">
        <f t="shared" si="67"/>
        <v>10372.93</v>
      </c>
      <c r="GN144">
        <f t="shared" si="68"/>
        <v>0</v>
      </c>
      <c r="GO144">
        <f t="shared" si="69"/>
        <v>0</v>
      </c>
      <c r="GP144">
        <f t="shared" si="70"/>
        <v>10372.93</v>
      </c>
      <c r="GR144">
        <v>0</v>
      </c>
      <c r="GS144">
        <v>0</v>
      </c>
      <c r="GT144">
        <v>0</v>
      </c>
      <c r="GU144" t="s">
        <v>3</v>
      </c>
      <c r="GV144">
        <f t="shared" si="71"/>
        <v>0</v>
      </c>
      <c r="GW144">
        <v>1</v>
      </c>
      <c r="GX144">
        <f t="shared" si="72"/>
        <v>0</v>
      </c>
      <c r="HA144">
        <v>0</v>
      </c>
      <c r="HB144">
        <v>0</v>
      </c>
      <c r="HC144">
        <f t="shared" si="73"/>
        <v>0</v>
      </c>
      <c r="HE144" t="s">
        <v>3</v>
      </c>
      <c r="HF144" t="s">
        <v>3</v>
      </c>
      <c r="HM144" t="s">
        <v>3</v>
      </c>
      <c r="HN144" t="s">
        <v>118</v>
      </c>
      <c r="HO144" t="s">
        <v>119</v>
      </c>
      <c r="HP144" t="s">
        <v>111</v>
      </c>
      <c r="HQ144" t="s">
        <v>111</v>
      </c>
      <c r="IK144">
        <v>0</v>
      </c>
    </row>
    <row r="145" spans="1:245" x14ac:dyDescent="0.2">
      <c r="A145">
        <v>17</v>
      </c>
      <c r="B145">
        <v>1</v>
      </c>
      <c r="C145">
        <f>ROW(SmtRes!A53)</f>
        <v>53</v>
      </c>
      <c r="D145">
        <f>ROW(EtalonRes!A54)</f>
        <v>54</v>
      </c>
      <c r="E145" t="s">
        <v>142</v>
      </c>
      <c r="F145" t="s">
        <v>143</v>
      </c>
      <c r="G145" t="s">
        <v>144</v>
      </c>
      <c r="H145" t="s">
        <v>136</v>
      </c>
      <c r="I145">
        <v>2</v>
      </c>
      <c r="J145">
        <v>0</v>
      </c>
      <c r="K145">
        <v>2</v>
      </c>
      <c r="O145">
        <f t="shared" si="49"/>
        <v>7409.23</v>
      </c>
      <c r="P145">
        <f>SUMIF(SmtRes!AQ53:'SmtRes'!AQ53,"=1",SmtRes!DF53:'SmtRes'!DF53)</f>
        <v>0</v>
      </c>
      <c r="Q145">
        <f>SUMIF(SmtRes!AQ53:'SmtRes'!AQ53,"=1",SmtRes!DG53:'SmtRes'!DG53)</f>
        <v>0</v>
      </c>
      <c r="R145">
        <f>SUMIF(SmtRes!AQ53:'SmtRes'!AQ53,"=1",SmtRes!DH53:'SmtRes'!DH53)</f>
        <v>0</v>
      </c>
      <c r="S145">
        <f>SUMIF(SmtRes!AQ53:'SmtRes'!AQ53,"=1",SmtRes!DI53:'SmtRes'!DI53)</f>
        <v>7409.23</v>
      </c>
      <c r="T145">
        <f t="shared" si="50"/>
        <v>0</v>
      </c>
      <c r="U145">
        <f>SUMIF(SmtRes!AQ53:'SmtRes'!AQ53,"=1",SmtRes!CV53:'SmtRes'!CV53)</f>
        <v>12.96</v>
      </c>
      <c r="V145">
        <f>SUMIF(SmtRes!AQ53:'SmtRes'!AQ53,"=1",SmtRes!CW53:'SmtRes'!CW53)</f>
        <v>0</v>
      </c>
      <c r="W145">
        <f t="shared" si="51"/>
        <v>0</v>
      </c>
      <c r="X145">
        <f t="shared" si="52"/>
        <v>5482.83</v>
      </c>
      <c r="Y145">
        <f t="shared" si="53"/>
        <v>2667.32</v>
      </c>
      <c r="AA145">
        <v>61625010</v>
      </c>
      <c r="AB145">
        <f t="shared" si="54"/>
        <v>3704.616</v>
      </c>
      <c r="AC145">
        <f t="shared" si="55"/>
        <v>0</v>
      </c>
      <c r="AD145">
        <f t="shared" si="56"/>
        <v>0</v>
      </c>
      <c r="AE145">
        <f t="shared" si="57"/>
        <v>0</v>
      </c>
      <c r="AF145">
        <f>ROUND((SUM(SmtRes!BT53:'SmtRes'!BT53)),6)</f>
        <v>3704.616</v>
      </c>
      <c r="AG145">
        <f t="shared" si="58"/>
        <v>0</v>
      </c>
      <c r="AH145">
        <f>(SUM(SmtRes!BU53:'SmtRes'!BU53))</f>
        <v>6.48</v>
      </c>
      <c r="AI145">
        <f>(0)</f>
        <v>0</v>
      </c>
      <c r="AJ145">
        <f t="shared" si="59"/>
        <v>0</v>
      </c>
      <c r="AK145">
        <v>3704.6160000000004</v>
      </c>
      <c r="AL145">
        <v>0</v>
      </c>
      <c r="AM145">
        <v>0</v>
      </c>
      <c r="AN145">
        <v>0</v>
      </c>
      <c r="AO145">
        <v>3704.6160000000004</v>
      </c>
      <c r="AP145">
        <v>0</v>
      </c>
      <c r="AQ145">
        <v>6.48</v>
      </c>
      <c r="AR145">
        <v>0</v>
      </c>
      <c r="AS145">
        <v>0</v>
      </c>
      <c r="AT145">
        <v>74</v>
      </c>
      <c r="AU145">
        <v>36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145</v>
      </c>
      <c r="BM145">
        <v>200001</v>
      </c>
      <c r="BN145">
        <v>0</v>
      </c>
      <c r="BO145" t="s">
        <v>3</v>
      </c>
      <c r="BP145">
        <v>0</v>
      </c>
      <c r="BQ145">
        <v>4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74</v>
      </c>
      <c r="CA145">
        <v>36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60"/>
        <v>7409.23</v>
      </c>
      <c r="CQ145">
        <f>SUMIF(SmtRes!AQ53:'SmtRes'!AQ53,"=1",SmtRes!AA53:'SmtRes'!AA53)</f>
        <v>0</v>
      </c>
      <c r="CR145">
        <f>SUMIF(SmtRes!AQ53:'SmtRes'!AQ53,"=1",SmtRes!AB53:'SmtRes'!AB53)</f>
        <v>0</v>
      </c>
      <c r="CS145">
        <f>SUMIF(SmtRes!AQ53:'SmtRes'!AQ53,"=1",SmtRes!AC53:'SmtRes'!AC53)</f>
        <v>0</v>
      </c>
      <c r="CT145">
        <f>SUMIF(SmtRes!AQ53:'SmtRes'!AQ53,"=1",SmtRes!AD53:'SmtRes'!AD53)</f>
        <v>571.70000000000005</v>
      </c>
      <c r="CU145">
        <f t="shared" si="61"/>
        <v>0</v>
      </c>
      <c r="CV145">
        <f>SUMIF(SmtRes!AQ53:'SmtRes'!AQ53,"=1",SmtRes!BU53:'SmtRes'!BU53)</f>
        <v>6.48</v>
      </c>
      <c r="CW145">
        <f>SUMIF(SmtRes!AQ53:'SmtRes'!AQ53,"=1",SmtRes!BV53:'SmtRes'!BV53)</f>
        <v>0</v>
      </c>
      <c r="CX145">
        <f t="shared" si="62"/>
        <v>0</v>
      </c>
      <c r="CY145">
        <f t="shared" si="63"/>
        <v>5482.8302000000003</v>
      </c>
      <c r="CZ145">
        <f t="shared" si="64"/>
        <v>2667.3227999999999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136</v>
      </c>
      <c r="DW145" t="s">
        <v>136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60393238</v>
      </c>
      <c r="EF145">
        <v>4</v>
      </c>
      <c r="EG145" t="s">
        <v>111</v>
      </c>
      <c r="EH145">
        <v>83</v>
      </c>
      <c r="EI145" t="s">
        <v>111</v>
      </c>
      <c r="EJ145">
        <v>4</v>
      </c>
      <c r="EK145">
        <v>200001</v>
      </c>
      <c r="EL145" t="s">
        <v>116</v>
      </c>
      <c r="EM145" t="s">
        <v>117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6.48</v>
      </c>
      <c r="EX145">
        <v>0</v>
      </c>
      <c r="EY145">
        <v>0</v>
      </c>
      <c r="FQ145">
        <v>0</v>
      </c>
      <c r="FR145">
        <f t="shared" si="65"/>
        <v>0</v>
      </c>
      <c r="FS145">
        <v>0</v>
      </c>
      <c r="FX145">
        <v>74</v>
      </c>
      <c r="FY145">
        <v>36</v>
      </c>
      <c r="GA145" t="s">
        <v>3</v>
      </c>
      <c r="GD145">
        <v>1</v>
      </c>
      <c r="GF145">
        <v>2086603627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66"/>
        <v>0</v>
      </c>
      <c r="GM145">
        <f t="shared" si="67"/>
        <v>15559.38</v>
      </c>
      <c r="GN145">
        <f t="shared" si="68"/>
        <v>0</v>
      </c>
      <c r="GO145">
        <f t="shared" si="69"/>
        <v>0</v>
      </c>
      <c r="GP145">
        <f t="shared" si="70"/>
        <v>15559.38</v>
      </c>
      <c r="GR145">
        <v>0</v>
      </c>
      <c r="GS145">
        <v>0</v>
      </c>
      <c r="GT145">
        <v>0</v>
      </c>
      <c r="GU145" t="s">
        <v>3</v>
      </c>
      <c r="GV145">
        <f t="shared" si="71"/>
        <v>0</v>
      </c>
      <c r="GW145">
        <v>1</v>
      </c>
      <c r="GX145">
        <f t="shared" si="72"/>
        <v>0</v>
      </c>
      <c r="HA145">
        <v>0</v>
      </c>
      <c r="HB145">
        <v>0</v>
      </c>
      <c r="HC145">
        <f t="shared" si="73"/>
        <v>0</v>
      </c>
      <c r="HE145" t="s">
        <v>3</v>
      </c>
      <c r="HF145" t="s">
        <v>3</v>
      </c>
      <c r="HM145" t="s">
        <v>3</v>
      </c>
      <c r="HN145" t="s">
        <v>118</v>
      </c>
      <c r="HO145" t="s">
        <v>119</v>
      </c>
      <c r="HP145" t="s">
        <v>111</v>
      </c>
      <c r="HQ145" t="s">
        <v>111</v>
      </c>
      <c r="IK145">
        <v>0</v>
      </c>
    </row>
    <row r="146" spans="1:245" x14ac:dyDescent="0.2">
      <c r="A146">
        <v>17</v>
      </c>
      <c r="B146">
        <v>1</v>
      </c>
      <c r="C146">
        <f>ROW(SmtRes!A54)</f>
        <v>54</v>
      </c>
      <c r="D146">
        <f>ROW(EtalonRes!A55)</f>
        <v>55</v>
      </c>
      <c r="E146" t="s">
        <v>146</v>
      </c>
      <c r="F146" t="s">
        <v>147</v>
      </c>
      <c r="G146" t="s">
        <v>148</v>
      </c>
      <c r="H146" t="s">
        <v>136</v>
      </c>
      <c r="I146">
        <v>2</v>
      </c>
      <c r="J146">
        <v>0</v>
      </c>
      <c r="K146">
        <v>2</v>
      </c>
      <c r="O146">
        <f t="shared" si="49"/>
        <v>7409.23</v>
      </c>
      <c r="P146">
        <f>SUMIF(SmtRes!AQ54:'SmtRes'!AQ54,"=1",SmtRes!DF54:'SmtRes'!DF54)</f>
        <v>0</v>
      </c>
      <c r="Q146">
        <f>SUMIF(SmtRes!AQ54:'SmtRes'!AQ54,"=1",SmtRes!DG54:'SmtRes'!DG54)</f>
        <v>0</v>
      </c>
      <c r="R146">
        <f>SUMIF(SmtRes!AQ54:'SmtRes'!AQ54,"=1",SmtRes!DH54:'SmtRes'!DH54)</f>
        <v>0</v>
      </c>
      <c r="S146">
        <f>SUMIF(SmtRes!AQ54:'SmtRes'!AQ54,"=1",SmtRes!DI54:'SmtRes'!DI54)</f>
        <v>7409.23</v>
      </c>
      <c r="T146">
        <f t="shared" si="50"/>
        <v>0</v>
      </c>
      <c r="U146">
        <f>SUMIF(SmtRes!AQ54:'SmtRes'!AQ54,"=1",SmtRes!CV54:'SmtRes'!CV54)</f>
        <v>12.96</v>
      </c>
      <c r="V146">
        <f>SUMIF(SmtRes!AQ54:'SmtRes'!AQ54,"=1",SmtRes!CW54:'SmtRes'!CW54)</f>
        <v>0</v>
      </c>
      <c r="W146">
        <f t="shared" si="51"/>
        <v>0</v>
      </c>
      <c r="X146">
        <f t="shared" si="52"/>
        <v>5482.83</v>
      </c>
      <c r="Y146">
        <f t="shared" si="53"/>
        <v>2667.32</v>
      </c>
      <c r="AA146">
        <v>61625010</v>
      </c>
      <c r="AB146">
        <f t="shared" si="54"/>
        <v>3704.616</v>
      </c>
      <c r="AC146">
        <f t="shared" si="55"/>
        <v>0</v>
      </c>
      <c r="AD146">
        <f t="shared" si="56"/>
        <v>0</v>
      </c>
      <c r="AE146">
        <f t="shared" si="57"/>
        <v>0</v>
      </c>
      <c r="AF146">
        <f>ROUND((SUM(SmtRes!BT54:'SmtRes'!BT54)),6)</f>
        <v>3704.616</v>
      </c>
      <c r="AG146">
        <f t="shared" si="58"/>
        <v>0</v>
      </c>
      <c r="AH146">
        <f>(SUM(SmtRes!BU54:'SmtRes'!BU54))</f>
        <v>6.48</v>
      </c>
      <c r="AI146">
        <f>(0)</f>
        <v>0</v>
      </c>
      <c r="AJ146">
        <f t="shared" si="59"/>
        <v>0</v>
      </c>
      <c r="AK146">
        <v>3704.6160000000004</v>
      </c>
      <c r="AL146">
        <v>0</v>
      </c>
      <c r="AM146">
        <v>0</v>
      </c>
      <c r="AN146">
        <v>0</v>
      </c>
      <c r="AO146">
        <v>3704.6160000000004</v>
      </c>
      <c r="AP146">
        <v>0</v>
      </c>
      <c r="AQ146">
        <v>6.48</v>
      </c>
      <c r="AR146">
        <v>0</v>
      </c>
      <c r="AS146">
        <v>0</v>
      </c>
      <c r="AT146">
        <v>74</v>
      </c>
      <c r="AU146">
        <v>36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149</v>
      </c>
      <c r="BM146">
        <v>200001</v>
      </c>
      <c r="BN146">
        <v>0</v>
      </c>
      <c r="BO146" t="s">
        <v>3</v>
      </c>
      <c r="BP146">
        <v>0</v>
      </c>
      <c r="BQ146">
        <v>4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74</v>
      </c>
      <c r="CA146">
        <v>36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60"/>
        <v>7409.23</v>
      </c>
      <c r="CQ146">
        <f>SUMIF(SmtRes!AQ54:'SmtRes'!AQ54,"=1",SmtRes!AA54:'SmtRes'!AA54)</f>
        <v>0</v>
      </c>
      <c r="CR146">
        <f>SUMIF(SmtRes!AQ54:'SmtRes'!AQ54,"=1",SmtRes!AB54:'SmtRes'!AB54)</f>
        <v>0</v>
      </c>
      <c r="CS146">
        <f>SUMIF(SmtRes!AQ54:'SmtRes'!AQ54,"=1",SmtRes!AC54:'SmtRes'!AC54)</f>
        <v>0</v>
      </c>
      <c r="CT146">
        <f>SUMIF(SmtRes!AQ54:'SmtRes'!AQ54,"=1",SmtRes!AD54:'SmtRes'!AD54)</f>
        <v>571.70000000000005</v>
      </c>
      <c r="CU146">
        <f t="shared" si="61"/>
        <v>0</v>
      </c>
      <c r="CV146">
        <f>SUMIF(SmtRes!AQ54:'SmtRes'!AQ54,"=1",SmtRes!BU54:'SmtRes'!BU54)</f>
        <v>6.48</v>
      </c>
      <c r="CW146">
        <f>SUMIF(SmtRes!AQ54:'SmtRes'!AQ54,"=1",SmtRes!BV54:'SmtRes'!BV54)</f>
        <v>0</v>
      </c>
      <c r="CX146">
        <f t="shared" si="62"/>
        <v>0</v>
      </c>
      <c r="CY146">
        <f t="shared" si="63"/>
        <v>5482.8302000000003</v>
      </c>
      <c r="CZ146">
        <f t="shared" si="64"/>
        <v>2667.3227999999999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1013</v>
      </c>
      <c r="DV146" t="s">
        <v>136</v>
      </c>
      <c r="DW146" t="s">
        <v>136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60393238</v>
      </c>
      <c r="EF146">
        <v>4</v>
      </c>
      <c r="EG146" t="s">
        <v>111</v>
      </c>
      <c r="EH146">
        <v>83</v>
      </c>
      <c r="EI146" t="s">
        <v>111</v>
      </c>
      <c r="EJ146">
        <v>4</v>
      </c>
      <c r="EK146">
        <v>200001</v>
      </c>
      <c r="EL146" t="s">
        <v>116</v>
      </c>
      <c r="EM146" t="s">
        <v>117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6.48</v>
      </c>
      <c r="EX146">
        <v>0</v>
      </c>
      <c r="EY146">
        <v>0</v>
      </c>
      <c r="FQ146">
        <v>0</v>
      </c>
      <c r="FR146">
        <f t="shared" si="65"/>
        <v>0</v>
      </c>
      <c r="FS146">
        <v>0</v>
      </c>
      <c r="FX146">
        <v>74</v>
      </c>
      <c r="FY146">
        <v>36</v>
      </c>
      <c r="GA146" t="s">
        <v>3</v>
      </c>
      <c r="GD146">
        <v>1</v>
      </c>
      <c r="GF146">
        <v>214730189</v>
      </c>
      <c r="GG146">
        <v>2</v>
      </c>
      <c r="GH146">
        <v>1</v>
      </c>
      <c r="GI146">
        <v>-2</v>
      </c>
      <c r="GJ146">
        <v>0</v>
      </c>
      <c r="GK146">
        <v>0</v>
      </c>
      <c r="GL146">
        <f t="shared" si="66"/>
        <v>0</v>
      </c>
      <c r="GM146">
        <f t="shared" si="67"/>
        <v>15559.38</v>
      </c>
      <c r="GN146">
        <f t="shared" si="68"/>
        <v>0</v>
      </c>
      <c r="GO146">
        <f t="shared" si="69"/>
        <v>0</v>
      </c>
      <c r="GP146">
        <f t="shared" si="70"/>
        <v>15559.38</v>
      </c>
      <c r="GR146">
        <v>0</v>
      </c>
      <c r="GS146">
        <v>0</v>
      </c>
      <c r="GT146">
        <v>0</v>
      </c>
      <c r="GU146" t="s">
        <v>3</v>
      </c>
      <c r="GV146">
        <f t="shared" si="71"/>
        <v>0</v>
      </c>
      <c r="GW146">
        <v>1</v>
      </c>
      <c r="GX146">
        <f t="shared" si="72"/>
        <v>0</v>
      </c>
      <c r="HA146">
        <v>0</v>
      </c>
      <c r="HB146">
        <v>0</v>
      </c>
      <c r="HC146">
        <f t="shared" si="73"/>
        <v>0</v>
      </c>
      <c r="HE146" t="s">
        <v>3</v>
      </c>
      <c r="HF146" t="s">
        <v>3</v>
      </c>
      <c r="HM146" t="s">
        <v>3</v>
      </c>
      <c r="HN146" t="s">
        <v>118</v>
      </c>
      <c r="HO146" t="s">
        <v>119</v>
      </c>
      <c r="HP146" t="s">
        <v>111</v>
      </c>
      <c r="HQ146" t="s">
        <v>111</v>
      </c>
      <c r="IK146">
        <v>0</v>
      </c>
    </row>
    <row r="147" spans="1:245" x14ac:dyDescent="0.2">
      <c r="A147">
        <v>17</v>
      </c>
      <c r="B147">
        <v>1</v>
      </c>
      <c r="C147">
        <f>ROW(SmtRes!A55)</f>
        <v>55</v>
      </c>
      <c r="D147">
        <f>ROW(EtalonRes!A56)</f>
        <v>56</v>
      </c>
      <c r="E147" t="s">
        <v>150</v>
      </c>
      <c r="F147" t="s">
        <v>151</v>
      </c>
      <c r="G147" t="s">
        <v>152</v>
      </c>
      <c r="H147" t="s">
        <v>136</v>
      </c>
      <c r="I147">
        <v>2</v>
      </c>
      <c r="J147">
        <v>0</v>
      </c>
      <c r="K147">
        <v>2</v>
      </c>
      <c r="O147">
        <f t="shared" si="49"/>
        <v>4116.24</v>
      </c>
      <c r="P147">
        <f>SUMIF(SmtRes!AQ55:'SmtRes'!AQ55,"=1",SmtRes!DF55:'SmtRes'!DF55)</f>
        <v>0</v>
      </c>
      <c r="Q147">
        <f>SUMIF(SmtRes!AQ55:'SmtRes'!AQ55,"=1",SmtRes!DG55:'SmtRes'!DG55)</f>
        <v>0</v>
      </c>
      <c r="R147">
        <f>SUMIF(SmtRes!AQ55:'SmtRes'!AQ55,"=1",SmtRes!DH55:'SmtRes'!DH55)</f>
        <v>0</v>
      </c>
      <c r="S147">
        <f>SUMIF(SmtRes!AQ55:'SmtRes'!AQ55,"=1",SmtRes!DI55:'SmtRes'!DI55)</f>
        <v>4116.24</v>
      </c>
      <c r="T147">
        <f t="shared" si="50"/>
        <v>0</v>
      </c>
      <c r="U147">
        <f>SUMIF(SmtRes!AQ55:'SmtRes'!AQ55,"=1",SmtRes!CV55:'SmtRes'!CV55)</f>
        <v>7.2</v>
      </c>
      <c r="V147">
        <f>SUMIF(SmtRes!AQ55:'SmtRes'!AQ55,"=1",SmtRes!CW55:'SmtRes'!CW55)</f>
        <v>0</v>
      </c>
      <c r="W147">
        <f t="shared" si="51"/>
        <v>0</v>
      </c>
      <c r="X147">
        <f t="shared" si="52"/>
        <v>3046.02</v>
      </c>
      <c r="Y147">
        <f t="shared" si="53"/>
        <v>1481.85</v>
      </c>
      <c r="AA147">
        <v>61625010</v>
      </c>
      <c r="AB147">
        <f t="shared" si="54"/>
        <v>2058.12</v>
      </c>
      <c r="AC147">
        <f t="shared" si="55"/>
        <v>0</v>
      </c>
      <c r="AD147">
        <f t="shared" si="56"/>
        <v>0</v>
      </c>
      <c r="AE147">
        <f t="shared" si="57"/>
        <v>0</v>
      </c>
      <c r="AF147">
        <f>ROUND((SUM(SmtRes!BT55:'SmtRes'!BT55)),6)</f>
        <v>2058.12</v>
      </c>
      <c r="AG147">
        <f t="shared" si="58"/>
        <v>0</v>
      </c>
      <c r="AH147">
        <f>(SUM(SmtRes!BU55:'SmtRes'!BU55))</f>
        <v>3.6</v>
      </c>
      <c r="AI147">
        <f>(0)</f>
        <v>0</v>
      </c>
      <c r="AJ147">
        <f t="shared" si="59"/>
        <v>0</v>
      </c>
      <c r="AK147">
        <v>2058.1200000000003</v>
      </c>
      <c r="AL147">
        <v>0</v>
      </c>
      <c r="AM147">
        <v>0</v>
      </c>
      <c r="AN147">
        <v>0</v>
      </c>
      <c r="AO147">
        <v>2058.1200000000003</v>
      </c>
      <c r="AP147">
        <v>0</v>
      </c>
      <c r="AQ147">
        <v>3.6</v>
      </c>
      <c r="AR147">
        <v>0</v>
      </c>
      <c r="AS147">
        <v>0</v>
      </c>
      <c r="AT147">
        <v>74</v>
      </c>
      <c r="AU147">
        <v>36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4</v>
      </c>
      <c r="BJ147" t="s">
        <v>153</v>
      </c>
      <c r="BM147">
        <v>200001</v>
      </c>
      <c r="BN147">
        <v>0</v>
      </c>
      <c r="BO147" t="s">
        <v>3</v>
      </c>
      <c r="BP147">
        <v>0</v>
      </c>
      <c r="BQ147">
        <v>4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74</v>
      </c>
      <c r="CA147">
        <v>36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60"/>
        <v>4116.24</v>
      </c>
      <c r="CQ147">
        <f>SUMIF(SmtRes!AQ55:'SmtRes'!AQ55,"=1",SmtRes!AA55:'SmtRes'!AA55)</f>
        <v>0</v>
      </c>
      <c r="CR147">
        <f>SUMIF(SmtRes!AQ55:'SmtRes'!AQ55,"=1",SmtRes!AB55:'SmtRes'!AB55)</f>
        <v>0</v>
      </c>
      <c r="CS147">
        <f>SUMIF(SmtRes!AQ55:'SmtRes'!AQ55,"=1",SmtRes!AC55:'SmtRes'!AC55)</f>
        <v>0</v>
      </c>
      <c r="CT147">
        <f>SUMIF(SmtRes!AQ55:'SmtRes'!AQ55,"=1",SmtRes!AD55:'SmtRes'!AD55)</f>
        <v>571.70000000000005</v>
      </c>
      <c r="CU147">
        <f t="shared" si="61"/>
        <v>0</v>
      </c>
      <c r="CV147">
        <f>SUMIF(SmtRes!AQ55:'SmtRes'!AQ55,"=1",SmtRes!BU55:'SmtRes'!BU55)</f>
        <v>3.6</v>
      </c>
      <c r="CW147">
        <f>SUMIF(SmtRes!AQ55:'SmtRes'!AQ55,"=1",SmtRes!BV55:'SmtRes'!BV55)</f>
        <v>0</v>
      </c>
      <c r="CX147">
        <f t="shared" si="62"/>
        <v>0</v>
      </c>
      <c r="CY147">
        <f t="shared" si="63"/>
        <v>3046.0176000000001</v>
      </c>
      <c r="CZ147">
        <f t="shared" si="64"/>
        <v>1481.8463999999999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136</v>
      </c>
      <c r="DW147" t="s">
        <v>136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60393238</v>
      </c>
      <c r="EF147">
        <v>4</v>
      </c>
      <c r="EG147" t="s">
        <v>111</v>
      </c>
      <c r="EH147">
        <v>83</v>
      </c>
      <c r="EI147" t="s">
        <v>111</v>
      </c>
      <c r="EJ147">
        <v>4</v>
      </c>
      <c r="EK147">
        <v>200001</v>
      </c>
      <c r="EL147" t="s">
        <v>116</v>
      </c>
      <c r="EM147" t="s">
        <v>117</v>
      </c>
      <c r="EO147" t="s">
        <v>3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3.6</v>
      </c>
      <c r="EX147">
        <v>0</v>
      </c>
      <c r="EY147">
        <v>0</v>
      </c>
      <c r="FQ147">
        <v>0</v>
      </c>
      <c r="FR147">
        <f t="shared" si="65"/>
        <v>0</v>
      </c>
      <c r="FS147">
        <v>0</v>
      </c>
      <c r="FX147">
        <v>74</v>
      </c>
      <c r="FY147">
        <v>36</v>
      </c>
      <c r="GA147" t="s">
        <v>3</v>
      </c>
      <c r="GD147">
        <v>1</v>
      </c>
      <c r="GF147">
        <v>-1002526648</v>
      </c>
      <c r="GG147">
        <v>2</v>
      </c>
      <c r="GH147">
        <v>1</v>
      </c>
      <c r="GI147">
        <v>-2</v>
      </c>
      <c r="GJ147">
        <v>0</v>
      </c>
      <c r="GK147">
        <v>0</v>
      </c>
      <c r="GL147">
        <f t="shared" si="66"/>
        <v>0</v>
      </c>
      <c r="GM147">
        <f t="shared" si="67"/>
        <v>8644.11</v>
      </c>
      <c r="GN147">
        <f t="shared" si="68"/>
        <v>0</v>
      </c>
      <c r="GO147">
        <f t="shared" si="69"/>
        <v>0</v>
      </c>
      <c r="GP147">
        <f t="shared" si="70"/>
        <v>8644.11</v>
      </c>
      <c r="GR147">
        <v>0</v>
      </c>
      <c r="GS147">
        <v>0</v>
      </c>
      <c r="GT147">
        <v>0</v>
      </c>
      <c r="GU147" t="s">
        <v>3</v>
      </c>
      <c r="GV147">
        <f t="shared" si="71"/>
        <v>0</v>
      </c>
      <c r="GW147">
        <v>1</v>
      </c>
      <c r="GX147">
        <f t="shared" si="72"/>
        <v>0</v>
      </c>
      <c r="HA147">
        <v>0</v>
      </c>
      <c r="HB147">
        <v>0</v>
      </c>
      <c r="HC147">
        <f t="shared" si="73"/>
        <v>0</v>
      </c>
      <c r="HE147" t="s">
        <v>3</v>
      </c>
      <c r="HF147" t="s">
        <v>3</v>
      </c>
      <c r="HM147" t="s">
        <v>3</v>
      </c>
      <c r="HN147" t="s">
        <v>118</v>
      </c>
      <c r="HO147" t="s">
        <v>119</v>
      </c>
      <c r="HP147" t="s">
        <v>111</v>
      </c>
      <c r="HQ147" t="s">
        <v>111</v>
      </c>
      <c r="IK147">
        <v>0</v>
      </c>
    </row>
    <row r="148" spans="1:245" x14ac:dyDescent="0.2">
      <c r="A148">
        <v>17</v>
      </c>
      <c r="B148">
        <v>1</v>
      </c>
      <c r="C148">
        <f>ROW(SmtRes!A57)</f>
        <v>57</v>
      </c>
      <c r="D148">
        <f>ROW(EtalonRes!A58)</f>
        <v>58</v>
      </c>
      <c r="E148" t="s">
        <v>154</v>
      </c>
      <c r="F148" t="s">
        <v>155</v>
      </c>
      <c r="G148" t="s">
        <v>156</v>
      </c>
      <c r="H148" t="s">
        <v>131</v>
      </c>
      <c r="I148">
        <v>2</v>
      </c>
      <c r="J148">
        <v>0</v>
      </c>
      <c r="K148">
        <v>2</v>
      </c>
      <c r="O148">
        <f t="shared" si="49"/>
        <v>5027.58</v>
      </c>
      <c r="P148">
        <f>SUMIF(SmtRes!AQ56:'SmtRes'!AQ57,"=1",SmtRes!DF56:'SmtRes'!DF57)</f>
        <v>0</v>
      </c>
      <c r="Q148">
        <f>SUMIF(SmtRes!AQ56:'SmtRes'!AQ57,"=1",SmtRes!DG56:'SmtRes'!DG57)</f>
        <v>0</v>
      </c>
      <c r="R148">
        <f>SUMIF(SmtRes!AQ56:'SmtRes'!AQ57,"=1",SmtRes!DH56:'SmtRes'!DH57)</f>
        <v>0</v>
      </c>
      <c r="S148">
        <f>SUMIF(SmtRes!AQ56:'SmtRes'!AQ57,"=1",SmtRes!DI56:'SmtRes'!DI57)</f>
        <v>5027.58</v>
      </c>
      <c r="T148">
        <f t="shared" si="50"/>
        <v>0</v>
      </c>
      <c r="U148">
        <f>SUMIF(SmtRes!AQ56:'SmtRes'!AQ57,"=1",SmtRes!CV56:'SmtRes'!CV57)</f>
        <v>9.7199999999999989</v>
      </c>
      <c r="V148">
        <f>SUMIF(SmtRes!AQ56:'SmtRes'!AQ57,"=1",SmtRes!CW56:'SmtRes'!CW57)</f>
        <v>0</v>
      </c>
      <c r="W148">
        <f t="shared" si="51"/>
        <v>0</v>
      </c>
      <c r="X148">
        <f t="shared" si="52"/>
        <v>3720.41</v>
      </c>
      <c r="Y148">
        <f t="shared" si="53"/>
        <v>1809.93</v>
      </c>
      <c r="AA148">
        <v>61625010</v>
      </c>
      <c r="AB148">
        <f t="shared" si="54"/>
        <v>2513.7878000000001</v>
      </c>
      <c r="AC148">
        <f t="shared" si="55"/>
        <v>0</v>
      </c>
      <c r="AD148">
        <f t="shared" si="56"/>
        <v>0</v>
      </c>
      <c r="AE148">
        <f t="shared" si="57"/>
        <v>0</v>
      </c>
      <c r="AF148">
        <f>ROUND((SUM(SmtRes!BT56:'SmtRes'!BT57)),6)</f>
        <v>2513.7878000000001</v>
      </c>
      <c r="AG148">
        <f t="shared" si="58"/>
        <v>0</v>
      </c>
      <c r="AH148">
        <f>(SUM(SmtRes!BU56:'SmtRes'!BU57))</f>
        <v>4.8599999999999994</v>
      </c>
      <c r="AI148">
        <f>(0)</f>
        <v>0</v>
      </c>
      <c r="AJ148">
        <f t="shared" si="59"/>
        <v>0</v>
      </c>
      <c r="AK148">
        <v>2513.7878000000001</v>
      </c>
      <c r="AL148">
        <v>0</v>
      </c>
      <c r="AM148">
        <v>0</v>
      </c>
      <c r="AN148">
        <v>0</v>
      </c>
      <c r="AO148">
        <v>2513.7878000000001</v>
      </c>
      <c r="AP148">
        <v>0</v>
      </c>
      <c r="AQ148">
        <v>4.8599999999999994</v>
      </c>
      <c r="AR148">
        <v>0</v>
      </c>
      <c r="AS148">
        <v>0</v>
      </c>
      <c r="AT148">
        <v>74</v>
      </c>
      <c r="AU148">
        <v>36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157</v>
      </c>
      <c r="BM148">
        <v>200001</v>
      </c>
      <c r="BN148">
        <v>0</v>
      </c>
      <c r="BO148" t="s">
        <v>3</v>
      </c>
      <c r="BP148">
        <v>0</v>
      </c>
      <c r="BQ148">
        <v>4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74</v>
      </c>
      <c r="CA148">
        <v>36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60"/>
        <v>5027.58</v>
      </c>
      <c r="CQ148">
        <f>SUMIF(SmtRes!AQ56:'SmtRes'!AQ57,"=1",SmtRes!AA56:'SmtRes'!AA57)</f>
        <v>0</v>
      </c>
      <c r="CR148">
        <f>SUMIF(SmtRes!AQ56:'SmtRes'!AQ57,"=1",SmtRes!AB56:'SmtRes'!AB57)</f>
        <v>0</v>
      </c>
      <c r="CS148">
        <f>SUMIF(SmtRes!AQ56:'SmtRes'!AQ57,"=1",SmtRes!AC56:'SmtRes'!AC57)</f>
        <v>0</v>
      </c>
      <c r="CT148">
        <f>SUMIF(SmtRes!AQ56:'SmtRes'!AQ57,"=1",SmtRes!AD56:'SmtRes'!AD57)</f>
        <v>1006.97</v>
      </c>
      <c r="CU148">
        <f t="shared" si="61"/>
        <v>0</v>
      </c>
      <c r="CV148">
        <f>SUMIF(SmtRes!AQ56:'SmtRes'!AQ57,"=1",SmtRes!BU56:'SmtRes'!BU57)</f>
        <v>4.8599999999999994</v>
      </c>
      <c r="CW148">
        <f>SUMIF(SmtRes!AQ56:'SmtRes'!AQ57,"=1",SmtRes!BV56:'SmtRes'!BV57)</f>
        <v>0</v>
      </c>
      <c r="CX148">
        <f t="shared" si="62"/>
        <v>0</v>
      </c>
      <c r="CY148">
        <f t="shared" si="63"/>
        <v>3720.4092000000001</v>
      </c>
      <c r="CZ148">
        <f t="shared" si="64"/>
        <v>1809.9288000000001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131</v>
      </c>
      <c r="DW148" t="s">
        <v>131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60393238</v>
      </c>
      <c r="EF148">
        <v>4</v>
      </c>
      <c r="EG148" t="s">
        <v>111</v>
      </c>
      <c r="EH148">
        <v>83</v>
      </c>
      <c r="EI148" t="s">
        <v>111</v>
      </c>
      <c r="EJ148">
        <v>4</v>
      </c>
      <c r="EK148">
        <v>200001</v>
      </c>
      <c r="EL148" t="s">
        <v>116</v>
      </c>
      <c r="EM148" t="s">
        <v>117</v>
      </c>
      <c r="EO148" t="s">
        <v>3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4.8600000000000003</v>
      </c>
      <c r="EX148">
        <v>0</v>
      </c>
      <c r="EY148">
        <v>0</v>
      </c>
      <c r="FQ148">
        <v>0</v>
      </c>
      <c r="FR148">
        <f t="shared" si="65"/>
        <v>0</v>
      </c>
      <c r="FS148">
        <v>0</v>
      </c>
      <c r="FX148">
        <v>74</v>
      </c>
      <c r="FY148">
        <v>36</v>
      </c>
      <c r="GA148" t="s">
        <v>3</v>
      </c>
      <c r="GD148">
        <v>1</v>
      </c>
      <c r="GF148">
        <v>295840143</v>
      </c>
      <c r="GG148">
        <v>2</v>
      </c>
      <c r="GH148">
        <v>1</v>
      </c>
      <c r="GI148">
        <v>-2</v>
      </c>
      <c r="GJ148">
        <v>0</v>
      </c>
      <c r="GK148">
        <v>0</v>
      </c>
      <c r="GL148">
        <f t="shared" si="66"/>
        <v>0</v>
      </c>
      <c r="GM148">
        <f t="shared" si="67"/>
        <v>10557.92</v>
      </c>
      <c r="GN148">
        <f t="shared" si="68"/>
        <v>0</v>
      </c>
      <c r="GO148">
        <f t="shared" si="69"/>
        <v>0</v>
      </c>
      <c r="GP148">
        <f t="shared" si="70"/>
        <v>10557.92</v>
      </c>
      <c r="GR148">
        <v>0</v>
      </c>
      <c r="GS148">
        <v>0</v>
      </c>
      <c r="GT148">
        <v>0</v>
      </c>
      <c r="GU148" t="s">
        <v>3</v>
      </c>
      <c r="GV148">
        <f t="shared" si="71"/>
        <v>0</v>
      </c>
      <c r="GW148">
        <v>1</v>
      </c>
      <c r="GX148">
        <f t="shared" si="72"/>
        <v>0</v>
      </c>
      <c r="HA148">
        <v>0</v>
      </c>
      <c r="HB148">
        <v>0</v>
      </c>
      <c r="HC148">
        <f t="shared" si="73"/>
        <v>0</v>
      </c>
      <c r="HE148" t="s">
        <v>3</v>
      </c>
      <c r="HF148" t="s">
        <v>3</v>
      </c>
      <c r="HM148" t="s">
        <v>3</v>
      </c>
      <c r="HN148" t="s">
        <v>118</v>
      </c>
      <c r="HO148" t="s">
        <v>119</v>
      </c>
      <c r="HP148" t="s">
        <v>111</v>
      </c>
      <c r="HQ148" t="s">
        <v>111</v>
      </c>
      <c r="IK148">
        <v>0</v>
      </c>
    </row>
    <row r="149" spans="1:245" x14ac:dyDescent="0.2">
      <c r="A149">
        <v>17</v>
      </c>
      <c r="B149">
        <v>1</v>
      </c>
      <c r="C149">
        <f>ROW(SmtRes!A59)</f>
        <v>59</v>
      </c>
      <c r="D149">
        <f>ROW(EtalonRes!A60)</f>
        <v>60</v>
      </c>
      <c r="E149" t="s">
        <v>158</v>
      </c>
      <c r="F149" t="s">
        <v>159</v>
      </c>
      <c r="G149" t="s">
        <v>160</v>
      </c>
      <c r="H149" t="s">
        <v>23</v>
      </c>
      <c r="I149">
        <v>6</v>
      </c>
      <c r="J149">
        <v>0</v>
      </c>
      <c r="K149">
        <v>6</v>
      </c>
      <c r="O149">
        <f t="shared" si="49"/>
        <v>1110.1300000000001</v>
      </c>
      <c r="P149">
        <f>SUMIF(SmtRes!AQ58:'SmtRes'!AQ59,"=1",SmtRes!DF58:'SmtRes'!DF59)</f>
        <v>0</v>
      </c>
      <c r="Q149">
        <f>SUMIF(SmtRes!AQ58:'SmtRes'!AQ59,"=1",SmtRes!DG58:'SmtRes'!DG59)</f>
        <v>0</v>
      </c>
      <c r="R149">
        <f>SUMIF(SmtRes!AQ58:'SmtRes'!AQ59,"=1",SmtRes!DH58:'SmtRes'!DH59)</f>
        <v>0</v>
      </c>
      <c r="S149">
        <f>SUMIF(SmtRes!AQ58:'SmtRes'!AQ59,"=1",SmtRes!DI58:'SmtRes'!DI59)</f>
        <v>1110.1300000000001</v>
      </c>
      <c r="T149">
        <f t="shared" si="50"/>
        <v>0</v>
      </c>
      <c r="U149">
        <f>SUMIF(SmtRes!AQ58:'SmtRes'!AQ59,"=1",SmtRes!CV58:'SmtRes'!CV59)</f>
        <v>1.92</v>
      </c>
      <c r="V149">
        <f>SUMIF(SmtRes!AQ58:'SmtRes'!AQ59,"=1",SmtRes!CW58:'SmtRes'!CW59)</f>
        <v>0</v>
      </c>
      <c r="W149">
        <f t="shared" si="51"/>
        <v>0</v>
      </c>
      <c r="X149">
        <f t="shared" si="52"/>
        <v>821.5</v>
      </c>
      <c r="Y149">
        <f t="shared" si="53"/>
        <v>399.65</v>
      </c>
      <c r="AA149">
        <v>61625010</v>
      </c>
      <c r="AB149">
        <f t="shared" si="54"/>
        <v>185.0224</v>
      </c>
      <c r="AC149">
        <f t="shared" si="55"/>
        <v>0</v>
      </c>
      <c r="AD149">
        <f t="shared" si="56"/>
        <v>0</v>
      </c>
      <c r="AE149">
        <f t="shared" si="57"/>
        <v>0</v>
      </c>
      <c r="AF149">
        <f>ROUND((SUM(SmtRes!BT58:'SmtRes'!BT59)),6)</f>
        <v>185.0224</v>
      </c>
      <c r="AG149">
        <f t="shared" si="58"/>
        <v>0</v>
      </c>
      <c r="AH149">
        <f>(SUM(SmtRes!BU58:'SmtRes'!BU59))</f>
        <v>0.32</v>
      </c>
      <c r="AI149">
        <f>(0)</f>
        <v>0</v>
      </c>
      <c r="AJ149">
        <f t="shared" si="59"/>
        <v>0</v>
      </c>
      <c r="AK149">
        <v>185.0224</v>
      </c>
      <c r="AL149">
        <v>0</v>
      </c>
      <c r="AM149">
        <v>0</v>
      </c>
      <c r="AN149">
        <v>0</v>
      </c>
      <c r="AO149">
        <v>185.0224</v>
      </c>
      <c r="AP149">
        <v>0</v>
      </c>
      <c r="AQ149">
        <v>0.32</v>
      </c>
      <c r="AR149">
        <v>0</v>
      </c>
      <c r="AS149">
        <v>0</v>
      </c>
      <c r="AT149">
        <v>74</v>
      </c>
      <c r="AU149">
        <v>36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161</v>
      </c>
      <c r="BM149">
        <v>200001</v>
      </c>
      <c r="BN149">
        <v>0</v>
      </c>
      <c r="BO149" t="s">
        <v>3</v>
      </c>
      <c r="BP149">
        <v>0</v>
      </c>
      <c r="BQ149">
        <v>4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74</v>
      </c>
      <c r="CA149">
        <v>36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60"/>
        <v>1110.1300000000001</v>
      </c>
      <c r="CQ149">
        <f>SUMIF(SmtRes!AQ58:'SmtRes'!AQ59,"=1",SmtRes!AA58:'SmtRes'!AA59)</f>
        <v>0</v>
      </c>
      <c r="CR149">
        <f>SUMIF(SmtRes!AQ58:'SmtRes'!AQ59,"=1",SmtRes!AB58:'SmtRes'!AB59)</f>
        <v>0</v>
      </c>
      <c r="CS149">
        <f>SUMIF(SmtRes!AQ58:'SmtRes'!AQ59,"=1",SmtRes!AC58:'SmtRes'!AC59)</f>
        <v>0</v>
      </c>
      <c r="CT149">
        <f>SUMIF(SmtRes!AQ58:'SmtRes'!AQ59,"=1",SmtRes!AD58:'SmtRes'!AD59)</f>
        <v>1156.3900000000001</v>
      </c>
      <c r="CU149">
        <f t="shared" si="61"/>
        <v>0</v>
      </c>
      <c r="CV149">
        <f>SUMIF(SmtRes!AQ58:'SmtRes'!AQ59,"=1",SmtRes!BU58:'SmtRes'!BU59)</f>
        <v>0.32</v>
      </c>
      <c r="CW149">
        <f>SUMIF(SmtRes!AQ58:'SmtRes'!AQ59,"=1",SmtRes!BV58:'SmtRes'!BV59)</f>
        <v>0</v>
      </c>
      <c r="CX149">
        <f t="shared" si="62"/>
        <v>0</v>
      </c>
      <c r="CY149">
        <f t="shared" si="63"/>
        <v>821.49620000000004</v>
      </c>
      <c r="CZ149">
        <f t="shared" si="64"/>
        <v>399.6468000000001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23</v>
      </c>
      <c r="DW149" t="s">
        <v>23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60393238</v>
      </c>
      <c r="EF149">
        <v>4</v>
      </c>
      <c r="EG149" t="s">
        <v>111</v>
      </c>
      <c r="EH149">
        <v>83</v>
      </c>
      <c r="EI149" t="s">
        <v>111</v>
      </c>
      <c r="EJ149">
        <v>4</v>
      </c>
      <c r="EK149">
        <v>200001</v>
      </c>
      <c r="EL149" t="s">
        <v>116</v>
      </c>
      <c r="EM149" t="s">
        <v>117</v>
      </c>
      <c r="EO149" t="s">
        <v>3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0.32</v>
      </c>
      <c r="EX149">
        <v>0</v>
      </c>
      <c r="EY149">
        <v>0</v>
      </c>
      <c r="FQ149">
        <v>0</v>
      </c>
      <c r="FR149">
        <f t="shared" si="65"/>
        <v>0</v>
      </c>
      <c r="FS149">
        <v>0</v>
      </c>
      <c r="FX149">
        <v>74</v>
      </c>
      <c r="FY149">
        <v>36</v>
      </c>
      <c r="GA149" t="s">
        <v>3</v>
      </c>
      <c r="GD149">
        <v>1</v>
      </c>
      <c r="GF149">
        <v>-439615818</v>
      </c>
      <c r="GG149">
        <v>2</v>
      </c>
      <c r="GH149">
        <v>1</v>
      </c>
      <c r="GI149">
        <v>-2</v>
      </c>
      <c r="GJ149">
        <v>0</v>
      </c>
      <c r="GK149">
        <v>0</v>
      </c>
      <c r="GL149">
        <f t="shared" si="66"/>
        <v>0</v>
      </c>
      <c r="GM149">
        <f t="shared" si="67"/>
        <v>2331.2800000000002</v>
      </c>
      <c r="GN149">
        <f t="shared" si="68"/>
        <v>0</v>
      </c>
      <c r="GO149">
        <f t="shared" si="69"/>
        <v>0</v>
      </c>
      <c r="GP149">
        <f t="shared" si="70"/>
        <v>2331.2800000000002</v>
      </c>
      <c r="GR149">
        <v>0</v>
      </c>
      <c r="GS149">
        <v>0</v>
      </c>
      <c r="GT149">
        <v>0</v>
      </c>
      <c r="GU149" t="s">
        <v>3</v>
      </c>
      <c r="GV149">
        <f t="shared" si="71"/>
        <v>0</v>
      </c>
      <c r="GW149">
        <v>1</v>
      </c>
      <c r="GX149">
        <f t="shared" si="72"/>
        <v>0</v>
      </c>
      <c r="HA149">
        <v>0</v>
      </c>
      <c r="HB149">
        <v>0</v>
      </c>
      <c r="HC149">
        <f t="shared" si="73"/>
        <v>0</v>
      </c>
      <c r="HE149" t="s">
        <v>3</v>
      </c>
      <c r="HF149" t="s">
        <v>3</v>
      </c>
      <c r="HM149" t="s">
        <v>3</v>
      </c>
      <c r="HN149" t="s">
        <v>118</v>
      </c>
      <c r="HO149" t="s">
        <v>119</v>
      </c>
      <c r="HP149" t="s">
        <v>111</v>
      </c>
      <c r="HQ149" t="s">
        <v>111</v>
      </c>
      <c r="IK149">
        <v>0</v>
      </c>
    </row>
    <row r="150" spans="1:245" x14ac:dyDescent="0.2">
      <c r="A150">
        <v>17</v>
      </c>
      <c r="B150">
        <v>1</v>
      </c>
      <c r="C150">
        <f>ROW(SmtRes!A61)</f>
        <v>61</v>
      </c>
      <c r="D150">
        <f>ROW(EtalonRes!A62)</f>
        <v>62</v>
      </c>
      <c r="E150" t="s">
        <v>162</v>
      </c>
      <c r="F150" t="s">
        <v>163</v>
      </c>
      <c r="G150" t="s">
        <v>164</v>
      </c>
      <c r="H150" t="s">
        <v>165</v>
      </c>
      <c r="I150">
        <v>2</v>
      </c>
      <c r="J150">
        <v>0</v>
      </c>
      <c r="K150">
        <v>2</v>
      </c>
      <c r="O150">
        <f t="shared" si="49"/>
        <v>1156.3900000000001</v>
      </c>
      <c r="P150">
        <f>SUMIF(SmtRes!AQ60:'SmtRes'!AQ61,"=1",SmtRes!DF60:'SmtRes'!DF61)</f>
        <v>0</v>
      </c>
      <c r="Q150">
        <f>SUMIF(SmtRes!AQ60:'SmtRes'!AQ61,"=1",SmtRes!DG60:'SmtRes'!DG61)</f>
        <v>0</v>
      </c>
      <c r="R150">
        <f>SUMIF(SmtRes!AQ60:'SmtRes'!AQ61,"=1",SmtRes!DH60:'SmtRes'!DH61)</f>
        <v>0</v>
      </c>
      <c r="S150">
        <f>SUMIF(SmtRes!AQ60:'SmtRes'!AQ61,"=1",SmtRes!DI60:'SmtRes'!DI61)</f>
        <v>1156.3900000000001</v>
      </c>
      <c r="T150">
        <f t="shared" si="50"/>
        <v>0</v>
      </c>
      <c r="U150">
        <f>SUMIF(SmtRes!AQ60:'SmtRes'!AQ61,"=1",SmtRes!CV60:'SmtRes'!CV61)</f>
        <v>2</v>
      </c>
      <c r="V150">
        <f>SUMIF(SmtRes!AQ60:'SmtRes'!AQ61,"=1",SmtRes!CW60:'SmtRes'!CW61)</f>
        <v>0</v>
      </c>
      <c r="W150">
        <f t="shared" si="51"/>
        <v>0</v>
      </c>
      <c r="X150">
        <f t="shared" si="52"/>
        <v>855.73</v>
      </c>
      <c r="Y150">
        <f t="shared" si="53"/>
        <v>416.3</v>
      </c>
      <c r="AA150">
        <v>61625010</v>
      </c>
      <c r="AB150">
        <f t="shared" si="54"/>
        <v>578.19500000000005</v>
      </c>
      <c r="AC150">
        <f t="shared" si="55"/>
        <v>0</v>
      </c>
      <c r="AD150">
        <f t="shared" si="56"/>
        <v>0</v>
      </c>
      <c r="AE150">
        <f t="shared" si="57"/>
        <v>0</v>
      </c>
      <c r="AF150">
        <f>ROUND((SUM(SmtRes!BT60:'SmtRes'!BT61)),6)</f>
        <v>578.19500000000005</v>
      </c>
      <c r="AG150">
        <f t="shared" si="58"/>
        <v>0</v>
      </c>
      <c r="AH150">
        <f>(SUM(SmtRes!BU60:'SmtRes'!BU61))</f>
        <v>1</v>
      </c>
      <c r="AI150">
        <f>(0)</f>
        <v>0</v>
      </c>
      <c r="AJ150">
        <f t="shared" si="59"/>
        <v>0</v>
      </c>
      <c r="AK150">
        <v>578.19500000000005</v>
      </c>
      <c r="AL150">
        <v>0</v>
      </c>
      <c r="AM150">
        <v>0</v>
      </c>
      <c r="AN150">
        <v>0</v>
      </c>
      <c r="AO150">
        <v>578.19500000000005</v>
      </c>
      <c r="AP150">
        <v>0</v>
      </c>
      <c r="AQ150">
        <v>1</v>
      </c>
      <c r="AR150">
        <v>0</v>
      </c>
      <c r="AS150">
        <v>0</v>
      </c>
      <c r="AT150">
        <v>74</v>
      </c>
      <c r="AU150">
        <v>36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166</v>
      </c>
      <c r="BM150">
        <v>200001</v>
      </c>
      <c r="BN150">
        <v>0</v>
      </c>
      <c r="BO150" t="s">
        <v>3</v>
      </c>
      <c r="BP150">
        <v>0</v>
      </c>
      <c r="BQ150">
        <v>4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74</v>
      </c>
      <c r="CA150">
        <v>36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60"/>
        <v>1156.3900000000001</v>
      </c>
      <c r="CQ150">
        <f>SUMIF(SmtRes!AQ60:'SmtRes'!AQ61,"=1",SmtRes!AA60:'SmtRes'!AA61)</f>
        <v>0</v>
      </c>
      <c r="CR150">
        <f>SUMIF(SmtRes!AQ60:'SmtRes'!AQ61,"=1",SmtRes!AB60:'SmtRes'!AB61)</f>
        <v>0</v>
      </c>
      <c r="CS150">
        <f>SUMIF(SmtRes!AQ60:'SmtRes'!AQ61,"=1",SmtRes!AC60:'SmtRes'!AC61)</f>
        <v>0</v>
      </c>
      <c r="CT150">
        <f>SUMIF(SmtRes!AQ60:'SmtRes'!AQ61,"=1",SmtRes!AD60:'SmtRes'!AD61)</f>
        <v>1156.3900000000001</v>
      </c>
      <c r="CU150">
        <f t="shared" si="61"/>
        <v>0</v>
      </c>
      <c r="CV150">
        <f>SUMIF(SmtRes!AQ60:'SmtRes'!AQ61,"=1",SmtRes!BU60:'SmtRes'!BU61)</f>
        <v>1</v>
      </c>
      <c r="CW150">
        <f>SUMIF(SmtRes!AQ60:'SmtRes'!AQ61,"=1",SmtRes!BV60:'SmtRes'!BV61)</f>
        <v>0</v>
      </c>
      <c r="CX150">
        <f t="shared" si="62"/>
        <v>0</v>
      </c>
      <c r="CY150">
        <f t="shared" si="63"/>
        <v>855.72860000000003</v>
      </c>
      <c r="CZ150">
        <f t="shared" si="64"/>
        <v>416.30040000000002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1013</v>
      </c>
      <c r="DV150" t="s">
        <v>165</v>
      </c>
      <c r="DW150" t="s">
        <v>165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60393238</v>
      </c>
      <c r="EF150">
        <v>4</v>
      </c>
      <c r="EG150" t="s">
        <v>111</v>
      </c>
      <c r="EH150">
        <v>83</v>
      </c>
      <c r="EI150" t="s">
        <v>111</v>
      </c>
      <c r="EJ150">
        <v>4</v>
      </c>
      <c r="EK150">
        <v>200001</v>
      </c>
      <c r="EL150" t="s">
        <v>116</v>
      </c>
      <c r="EM150" t="s">
        <v>117</v>
      </c>
      <c r="EO150" t="s">
        <v>3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1</v>
      </c>
      <c r="EX150">
        <v>0</v>
      </c>
      <c r="EY150">
        <v>0</v>
      </c>
      <c r="FQ150">
        <v>0</v>
      </c>
      <c r="FR150">
        <f t="shared" si="65"/>
        <v>0</v>
      </c>
      <c r="FS150">
        <v>0</v>
      </c>
      <c r="FX150">
        <v>74</v>
      </c>
      <c r="FY150">
        <v>36</v>
      </c>
      <c r="GA150" t="s">
        <v>3</v>
      </c>
      <c r="GD150">
        <v>1</v>
      </c>
      <c r="GF150">
        <v>586649101</v>
      </c>
      <c r="GG150">
        <v>2</v>
      </c>
      <c r="GH150">
        <v>1</v>
      </c>
      <c r="GI150">
        <v>-2</v>
      </c>
      <c r="GJ150">
        <v>0</v>
      </c>
      <c r="GK150">
        <v>0</v>
      </c>
      <c r="GL150">
        <f t="shared" si="66"/>
        <v>0</v>
      </c>
      <c r="GM150">
        <f t="shared" si="67"/>
        <v>2428.42</v>
      </c>
      <c r="GN150">
        <f t="shared" si="68"/>
        <v>0</v>
      </c>
      <c r="GO150">
        <f t="shared" si="69"/>
        <v>0</v>
      </c>
      <c r="GP150">
        <f t="shared" si="70"/>
        <v>2428.42</v>
      </c>
      <c r="GR150">
        <v>0</v>
      </c>
      <c r="GS150">
        <v>0</v>
      </c>
      <c r="GT150">
        <v>0</v>
      </c>
      <c r="GU150" t="s">
        <v>3</v>
      </c>
      <c r="GV150">
        <f t="shared" si="71"/>
        <v>0</v>
      </c>
      <c r="GW150">
        <v>1</v>
      </c>
      <c r="GX150">
        <f t="shared" si="72"/>
        <v>0</v>
      </c>
      <c r="HA150">
        <v>0</v>
      </c>
      <c r="HB150">
        <v>0</v>
      </c>
      <c r="HC150">
        <f t="shared" si="73"/>
        <v>0</v>
      </c>
      <c r="HE150" t="s">
        <v>3</v>
      </c>
      <c r="HF150" t="s">
        <v>3</v>
      </c>
      <c r="HM150" t="s">
        <v>3</v>
      </c>
      <c r="HN150" t="s">
        <v>118</v>
      </c>
      <c r="HO150" t="s">
        <v>119</v>
      </c>
      <c r="HP150" t="s">
        <v>111</v>
      </c>
      <c r="HQ150" t="s">
        <v>111</v>
      </c>
      <c r="IK150">
        <v>0</v>
      </c>
    </row>
    <row r="151" spans="1:245" x14ac:dyDescent="0.2">
      <c r="A151">
        <v>17</v>
      </c>
      <c r="B151">
        <v>1</v>
      </c>
      <c r="C151">
        <f>ROW(SmtRes!A63)</f>
        <v>63</v>
      </c>
      <c r="D151">
        <f>ROW(EtalonRes!A64)</f>
        <v>64</v>
      </c>
      <c r="E151" t="s">
        <v>167</v>
      </c>
      <c r="F151" t="s">
        <v>168</v>
      </c>
      <c r="G151" t="s">
        <v>169</v>
      </c>
      <c r="H151" t="s">
        <v>165</v>
      </c>
      <c r="I151">
        <v>2</v>
      </c>
      <c r="J151">
        <v>0</v>
      </c>
      <c r="K151">
        <v>2</v>
      </c>
      <c r="O151">
        <f t="shared" si="49"/>
        <v>1873.35</v>
      </c>
      <c r="P151">
        <f>SUMIF(SmtRes!AQ62:'SmtRes'!AQ63,"=1",SmtRes!DF62:'SmtRes'!DF63)</f>
        <v>0</v>
      </c>
      <c r="Q151">
        <f>SUMIF(SmtRes!AQ62:'SmtRes'!AQ63,"=1",SmtRes!DG62:'SmtRes'!DG63)</f>
        <v>0</v>
      </c>
      <c r="R151">
        <f>SUMIF(SmtRes!AQ62:'SmtRes'!AQ63,"=1",SmtRes!DH62:'SmtRes'!DH63)</f>
        <v>0</v>
      </c>
      <c r="S151">
        <f>SUMIF(SmtRes!AQ62:'SmtRes'!AQ63,"=1",SmtRes!DI62:'SmtRes'!DI63)</f>
        <v>1873.35</v>
      </c>
      <c r="T151">
        <f t="shared" si="50"/>
        <v>0</v>
      </c>
      <c r="U151">
        <f>SUMIF(SmtRes!AQ62:'SmtRes'!AQ63,"=1",SmtRes!CV62:'SmtRes'!CV63)</f>
        <v>3.24</v>
      </c>
      <c r="V151">
        <f>SUMIF(SmtRes!AQ62:'SmtRes'!AQ63,"=1",SmtRes!CW62:'SmtRes'!CW63)</f>
        <v>0</v>
      </c>
      <c r="W151">
        <f t="shared" si="51"/>
        <v>0</v>
      </c>
      <c r="X151">
        <f t="shared" si="52"/>
        <v>1386.28</v>
      </c>
      <c r="Y151">
        <f t="shared" si="53"/>
        <v>674.41</v>
      </c>
      <c r="AA151">
        <v>61625010</v>
      </c>
      <c r="AB151">
        <f t="shared" si="54"/>
        <v>936.67589999999996</v>
      </c>
      <c r="AC151">
        <f t="shared" si="55"/>
        <v>0</v>
      </c>
      <c r="AD151">
        <f t="shared" si="56"/>
        <v>0</v>
      </c>
      <c r="AE151">
        <f t="shared" si="57"/>
        <v>0</v>
      </c>
      <c r="AF151">
        <f>ROUND((SUM(SmtRes!BT62:'SmtRes'!BT63)),6)</f>
        <v>936.67589999999996</v>
      </c>
      <c r="AG151">
        <f t="shared" si="58"/>
        <v>0</v>
      </c>
      <c r="AH151">
        <f>(SUM(SmtRes!BU62:'SmtRes'!BU63))</f>
        <v>1.62</v>
      </c>
      <c r="AI151">
        <f>(0)</f>
        <v>0</v>
      </c>
      <c r="AJ151">
        <f t="shared" si="59"/>
        <v>0</v>
      </c>
      <c r="AK151">
        <v>936.67590000000018</v>
      </c>
      <c r="AL151">
        <v>0</v>
      </c>
      <c r="AM151">
        <v>0</v>
      </c>
      <c r="AN151">
        <v>0</v>
      </c>
      <c r="AO151">
        <v>936.67590000000018</v>
      </c>
      <c r="AP151">
        <v>0</v>
      </c>
      <c r="AQ151">
        <v>1.62</v>
      </c>
      <c r="AR151">
        <v>0</v>
      </c>
      <c r="AS151">
        <v>0</v>
      </c>
      <c r="AT151">
        <v>74</v>
      </c>
      <c r="AU151">
        <v>36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170</v>
      </c>
      <c r="BM151">
        <v>200001</v>
      </c>
      <c r="BN151">
        <v>0</v>
      </c>
      <c r="BO151" t="s">
        <v>3</v>
      </c>
      <c r="BP151">
        <v>0</v>
      </c>
      <c r="BQ151">
        <v>4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74</v>
      </c>
      <c r="CA151">
        <v>36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60"/>
        <v>1873.35</v>
      </c>
      <c r="CQ151">
        <f>SUMIF(SmtRes!AQ62:'SmtRes'!AQ63,"=1",SmtRes!AA62:'SmtRes'!AA63)</f>
        <v>0</v>
      </c>
      <c r="CR151">
        <f>SUMIF(SmtRes!AQ62:'SmtRes'!AQ63,"=1",SmtRes!AB62:'SmtRes'!AB63)</f>
        <v>0</v>
      </c>
      <c r="CS151">
        <f>SUMIF(SmtRes!AQ62:'SmtRes'!AQ63,"=1",SmtRes!AC62:'SmtRes'!AC63)</f>
        <v>0</v>
      </c>
      <c r="CT151">
        <f>SUMIF(SmtRes!AQ62:'SmtRes'!AQ63,"=1",SmtRes!AD62:'SmtRes'!AD63)</f>
        <v>1156.3900000000001</v>
      </c>
      <c r="CU151">
        <f t="shared" si="61"/>
        <v>0</v>
      </c>
      <c r="CV151">
        <f>SUMIF(SmtRes!AQ62:'SmtRes'!AQ63,"=1",SmtRes!BU62:'SmtRes'!BU63)</f>
        <v>1.62</v>
      </c>
      <c r="CW151">
        <f>SUMIF(SmtRes!AQ62:'SmtRes'!AQ63,"=1",SmtRes!BV62:'SmtRes'!BV63)</f>
        <v>0</v>
      </c>
      <c r="CX151">
        <f t="shared" si="62"/>
        <v>0</v>
      </c>
      <c r="CY151">
        <f t="shared" si="63"/>
        <v>1386.279</v>
      </c>
      <c r="CZ151">
        <f t="shared" si="64"/>
        <v>674.40599999999995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1013</v>
      </c>
      <c r="DV151" t="s">
        <v>165</v>
      </c>
      <c r="DW151" t="s">
        <v>165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60393238</v>
      </c>
      <c r="EF151">
        <v>4</v>
      </c>
      <c r="EG151" t="s">
        <v>111</v>
      </c>
      <c r="EH151">
        <v>83</v>
      </c>
      <c r="EI151" t="s">
        <v>111</v>
      </c>
      <c r="EJ151">
        <v>4</v>
      </c>
      <c r="EK151">
        <v>200001</v>
      </c>
      <c r="EL151" t="s">
        <v>116</v>
      </c>
      <c r="EM151" t="s">
        <v>117</v>
      </c>
      <c r="EO151" t="s">
        <v>3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1.62</v>
      </c>
      <c r="EX151">
        <v>0</v>
      </c>
      <c r="EY151">
        <v>0</v>
      </c>
      <c r="FQ151">
        <v>0</v>
      </c>
      <c r="FR151">
        <f t="shared" si="65"/>
        <v>0</v>
      </c>
      <c r="FS151">
        <v>0</v>
      </c>
      <c r="FX151">
        <v>74</v>
      </c>
      <c r="FY151">
        <v>36</v>
      </c>
      <c r="GA151" t="s">
        <v>3</v>
      </c>
      <c r="GD151">
        <v>1</v>
      </c>
      <c r="GF151">
        <v>-1487754187</v>
      </c>
      <c r="GG151">
        <v>2</v>
      </c>
      <c r="GH151">
        <v>1</v>
      </c>
      <c r="GI151">
        <v>-2</v>
      </c>
      <c r="GJ151">
        <v>0</v>
      </c>
      <c r="GK151">
        <v>0</v>
      </c>
      <c r="GL151">
        <f t="shared" si="66"/>
        <v>0</v>
      </c>
      <c r="GM151">
        <f t="shared" si="67"/>
        <v>3934.04</v>
      </c>
      <c r="GN151">
        <f t="shared" si="68"/>
        <v>0</v>
      </c>
      <c r="GO151">
        <f t="shared" si="69"/>
        <v>0</v>
      </c>
      <c r="GP151">
        <f t="shared" si="70"/>
        <v>3934.04</v>
      </c>
      <c r="GR151">
        <v>0</v>
      </c>
      <c r="GS151">
        <v>0</v>
      </c>
      <c r="GT151">
        <v>0</v>
      </c>
      <c r="GU151" t="s">
        <v>3</v>
      </c>
      <c r="GV151">
        <f t="shared" si="71"/>
        <v>0</v>
      </c>
      <c r="GW151">
        <v>1</v>
      </c>
      <c r="GX151">
        <f t="shared" si="72"/>
        <v>0</v>
      </c>
      <c r="HA151">
        <v>0</v>
      </c>
      <c r="HB151">
        <v>0</v>
      </c>
      <c r="HC151">
        <f t="shared" si="73"/>
        <v>0</v>
      </c>
      <c r="HE151" t="s">
        <v>3</v>
      </c>
      <c r="HF151" t="s">
        <v>3</v>
      </c>
      <c r="HM151" t="s">
        <v>3</v>
      </c>
      <c r="HN151" t="s">
        <v>118</v>
      </c>
      <c r="HO151" t="s">
        <v>119</v>
      </c>
      <c r="HP151" t="s">
        <v>111</v>
      </c>
      <c r="HQ151" t="s">
        <v>111</v>
      </c>
      <c r="IK151">
        <v>0</v>
      </c>
    </row>
    <row r="152" spans="1:245" x14ac:dyDescent="0.2">
      <c r="A152">
        <v>17</v>
      </c>
      <c r="B152">
        <v>1</v>
      </c>
      <c r="C152">
        <f>ROW(SmtRes!A65)</f>
        <v>65</v>
      </c>
      <c r="D152">
        <f>ROW(EtalonRes!A66)</f>
        <v>66</v>
      </c>
      <c r="E152" t="s">
        <v>171</v>
      </c>
      <c r="F152" t="s">
        <v>172</v>
      </c>
      <c r="G152" t="s">
        <v>173</v>
      </c>
      <c r="H152" t="s">
        <v>174</v>
      </c>
      <c r="I152">
        <f>ROUND(2/100,7)</f>
        <v>0.02</v>
      </c>
      <c r="J152">
        <v>0</v>
      </c>
      <c r="K152">
        <f>ROUND(2/100,7)</f>
        <v>0.02</v>
      </c>
      <c r="O152">
        <f t="shared" si="49"/>
        <v>149.87</v>
      </c>
      <c r="P152">
        <f>SUMIF(SmtRes!AQ64:'SmtRes'!AQ65,"=1",SmtRes!DF64:'SmtRes'!DF65)</f>
        <v>0</v>
      </c>
      <c r="Q152">
        <f>SUMIF(SmtRes!AQ64:'SmtRes'!AQ65,"=1",SmtRes!DG64:'SmtRes'!DG65)</f>
        <v>0</v>
      </c>
      <c r="R152">
        <f>SUMIF(SmtRes!AQ64:'SmtRes'!AQ65,"=1",SmtRes!DH64:'SmtRes'!DH65)</f>
        <v>0</v>
      </c>
      <c r="S152">
        <f>SUMIF(SmtRes!AQ64:'SmtRes'!AQ65,"=1",SmtRes!DI64:'SmtRes'!DI65)</f>
        <v>149.87</v>
      </c>
      <c r="T152">
        <f t="shared" si="50"/>
        <v>0</v>
      </c>
      <c r="U152">
        <f>SUMIF(SmtRes!AQ64:'SmtRes'!AQ65,"=1",SmtRes!CV64:'SmtRes'!CV65)</f>
        <v>0.25919999999999999</v>
      </c>
      <c r="V152">
        <f>SUMIF(SmtRes!AQ64:'SmtRes'!AQ65,"=1",SmtRes!CW64:'SmtRes'!CW65)</f>
        <v>0</v>
      </c>
      <c r="W152">
        <f t="shared" si="51"/>
        <v>0</v>
      </c>
      <c r="X152">
        <f t="shared" si="52"/>
        <v>110.9</v>
      </c>
      <c r="Y152">
        <f t="shared" si="53"/>
        <v>53.95</v>
      </c>
      <c r="AA152">
        <v>61625010</v>
      </c>
      <c r="AB152">
        <f t="shared" si="54"/>
        <v>7493.4071999999996</v>
      </c>
      <c r="AC152">
        <f t="shared" si="55"/>
        <v>0</v>
      </c>
      <c r="AD152">
        <f t="shared" si="56"/>
        <v>0</v>
      </c>
      <c r="AE152">
        <f t="shared" si="57"/>
        <v>0</v>
      </c>
      <c r="AF152">
        <f>ROUND((SUM(SmtRes!BT64:'SmtRes'!BT65)),6)</f>
        <v>7493.4071999999996</v>
      </c>
      <c r="AG152">
        <f t="shared" si="58"/>
        <v>0</v>
      </c>
      <c r="AH152">
        <f>(SUM(SmtRes!BU64:'SmtRes'!BU65))</f>
        <v>12.96</v>
      </c>
      <c r="AI152">
        <f>(0)</f>
        <v>0</v>
      </c>
      <c r="AJ152">
        <f t="shared" si="59"/>
        <v>0</v>
      </c>
      <c r="AK152">
        <v>7493.4072000000015</v>
      </c>
      <c r="AL152">
        <v>0</v>
      </c>
      <c r="AM152">
        <v>0</v>
      </c>
      <c r="AN152">
        <v>0</v>
      </c>
      <c r="AO152">
        <v>7493.4072000000015</v>
      </c>
      <c r="AP152">
        <v>0</v>
      </c>
      <c r="AQ152">
        <v>12.96</v>
      </c>
      <c r="AR152">
        <v>0</v>
      </c>
      <c r="AS152">
        <v>0</v>
      </c>
      <c r="AT152">
        <v>74</v>
      </c>
      <c r="AU152">
        <v>36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175</v>
      </c>
      <c r="BM152">
        <v>200001</v>
      </c>
      <c r="BN152">
        <v>0</v>
      </c>
      <c r="BO152" t="s">
        <v>3</v>
      </c>
      <c r="BP152">
        <v>0</v>
      </c>
      <c r="BQ152">
        <v>4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74</v>
      </c>
      <c r="CA152">
        <v>36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60"/>
        <v>149.87</v>
      </c>
      <c r="CQ152">
        <f>SUMIF(SmtRes!AQ64:'SmtRes'!AQ65,"=1",SmtRes!AA64:'SmtRes'!AA65)</f>
        <v>0</v>
      </c>
      <c r="CR152">
        <f>SUMIF(SmtRes!AQ64:'SmtRes'!AQ65,"=1",SmtRes!AB64:'SmtRes'!AB65)</f>
        <v>0</v>
      </c>
      <c r="CS152">
        <f>SUMIF(SmtRes!AQ64:'SmtRes'!AQ65,"=1",SmtRes!AC64:'SmtRes'!AC65)</f>
        <v>0</v>
      </c>
      <c r="CT152">
        <f>SUMIF(SmtRes!AQ64:'SmtRes'!AQ65,"=1",SmtRes!AD64:'SmtRes'!AD65)</f>
        <v>1156.3900000000001</v>
      </c>
      <c r="CU152">
        <f t="shared" si="61"/>
        <v>0</v>
      </c>
      <c r="CV152">
        <f>SUMIF(SmtRes!AQ64:'SmtRes'!AQ65,"=1",SmtRes!BU64:'SmtRes'!BU65)</f>
        <v>12.96</v>
      </c>
      <c r="CW152">
        <f>SUMIF(SmtRes!AQ64:'SmtRes'!AQ65,"=1",SmtRes!BV64:'SmtRes'!BV65)</f>
        <v>0</v>
      </c>
      <c r="CX152">
        <f t="shared" si="62"/>
        <v>0</v>
      </c>
      <c r="CY152">
        <f t="shared" si="63"/>
        <v>110.9038</v>
      </c>
      <c r="CZ152">
        <f t="shared" si="64"/>
        <v>53.953199999999995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1013</v>
      </c>
      <c r="DV152" t="s">
        <v>174</v>
      </c>
      <c r="DW152" t="s">
        <v>174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60393238</v>
      </c>
      <c r="EF152">
        <v>4</v>
      </c>
      <c r="EG152" t="s">
        <v>111</v>
      </c>
      <c r="EH152">
        <v>83</v>
      </c>
      <c r="EI152" t="s">
        <v>111</v>
      </c>
      <c r="EJ152">
        <v>4</v>
      </c>
      <c r="EK152">
        <v>200001</v>
      </c>
      <c r="EL152" t="s">
        <v>116</v>
      </c>
      <c r="EM152" t="s">
        <v>117</v>
      </c>
      <c r="EO152" t="s">
        <v>3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12.96</v>
      </c>
      <c r="EX152">
        <v>0</v>
      </c>
      <c r="EY152">
        <v>0</v>
      </c>
      <c r="FQ152">
        <v>0</v>
      </c>
      <c r="FR152">
        <f t="shared" si="65"/>
        <v>0</v>
      </c>
      <c r="FS152">
        <v>0</v>
      </c>
      <c r="FX152">
        <v>74</v>
      </c>
      <c r="FY152">
        <v>36</v>
      </c>
      <c r="GA152" t="s">
        <v>3</v>
      </c>
      <c r="GD152">
        <v>1</v>
      </c>
      <c r="GF152">
        <v>416936062</v>
      </c>
      <c r="GG152">
        <v>2</v>
      </c>
      <c r="GH152">
        <v>1</v>
      </c>
      <c r="GI152">
        <v>-2</v>
      </c>
      <c r="GJ152">
        <v>0</v>
      </c>
      <c r="GK152">
        <v>0</v>
      </c>
      <c r="GL152">
        <f t="shared" si="66"/>
        <v>0</v>
      </c>
      <c r="GM152">
        <f t="shared" si="67"/>
        <v>314.72000000000003</v>
      </c>
      <c r="GN152">
        <f t="shared" si="68"/>
        <v>0</v>
      </c>
      <c r="GO152">
        <f t="shared" si="69"/>
        <v>0</v>
      </c>
      <c r="GP152">
        <f t="shared" si="70"/>
        <v>314.72000000000003</v>
      </c>
      <c r="GR152">
        <v>0</v>
      </c>
      <c r="GS152">
        <v>0</v>
      </c>
      <c r="GT152">
        <v>0</v>
      </c>
      <c r="GU152" t="s">
        <v>3</v>
      </c>
      <c r="GV152">
        <f t="shared" si="71"/>
        <v>0</v>
      </c>
      <c r="GW152">
        <v>1</v>
      </c>
      <c r="GX152">
        <f t="shared" si="72"/>
        <v>0</v>
      </c>
      <c r="HA152">
        <v>0</v>
      </c>
      <c r="HB152">
        <v>0</v>
      </c>
      <c r="HC152">
        <f t="shared" si="73"/>
        <v>0</v>
      </c>
      <c r="HE152" t="s">
        <v>3</v>
      </c>
      <c r="HF152" t="s">
        <v>3</v>
      </c>
      <c r="HM152" t="s">
        <v>3</v>
      </c>
      <c r="HN152" t="s">
        <v>118</v>
      </c>
      <c r="HO152" t="s">
        <v>119</v>
      </c>
      <c r="HP152" t="s">
        <v>111</v>
      </c>
      <c r="HQ152" t="s">
        <v>111</v>
      </c>
      <c r="IK152">
        <v>0</v>
      </c>
    </row>
    <row r="153" spans="1:245" x14ac:dyDescent="0.2">
      <c r="A153">
        <v>17</v>
      </c>
      <c r="B153">
        <v>1</v>
      </c>
      <c r="C153">
        <f>ROW(SmtRes!A67)</f>
        <v>67</v>
      </c>
      <c r="D153">
        <f>ROW(EtalonRes!A68)</f>
        <v>68</v>
      </c>
      <c r="E153" t="s">
        <v>176</v>
      </c>
      <c r="F153" t="s">
        <v>177</v>
      </c>
      <c r="G153" t="s">
        <v>178</v>
      </c>
      <c r="H153" t="s">
        <v>165</v>
      </c>
      <c r="I153">
        <v>2</v>
      </c>
      <c r="J153">
        <v>0</v>
      </c>
      <c r="K153">
        <v>2</v>
      </c>
      <c r="O153">
        <f t="shared" si="49"/>
        <v>3746.71</v>
      </c>
      <c r="P153">
        <f>SUMIF(SmtRes!AQ66:'SmtRes'!AQ67,"=1",SmtRes!DF66:'SmtRes'!DF67)</f>
        <v>0</v>
      </c>
      <c r="Q153">
        <f>SUMIF(SmtRes!AQ66:'SmtRes'!AQ67,"=1",SmtRes!DG66:'SmtRes'!DG67)</f>
        <v>0</v>
      </c>
      <c r="R153">
        <f>SUMIF(SmtRes!AQ66:'SmtRes'!AQ67,"=1",SmtRes!DH66:'SmtRes'!DH67)</f>
        <v>0</v>
      </c>
      <c r="S153">
        <f>SUMIF(SmtRes!AQ66:'SmtRes'!AQ67,"=1",SmtRes!DI66:'SmtRes'!DI67)</f>
        <v>3746.71</v>
      </c>
      <c r="T153">
        <f t="shared" si="50"/>
        <v>0</v>
      </c>
      <c r="U153">
        <f>SUMIF(SmtRes!AQ66:'SmtRes'!AQ67,"=1",SmtRes!CV66:'SmtRes'!CV67)</f>
        <v>6.48</v>
      </c>
      <c r="V153">
        <f>SUMIF(SmtRes!AQ66:'SmtRes'!AQ67,"=1",SmtRes!CW66:'SmtRes'!CW67)</f>
        <v>0</v>
      </c>
      <c r="W153">
        <f t="shared" si="51"/>
        <v>0</v>
      </c>
      <c r="X153">
        <f t="shared" si="52"/>
        <v>2772.57</v>
      </c>
      <c r="Y153">
        <f t="shared" si="53"/>
        <v>1348.82</v>
      </c>
      <c r="AA153">
        <v>61625010</v>
      </c>
      <c r="AB153">
        <f t="shared" si="54"/>
        <v>1873.3517999999999</v>
      </c>
      <c r="AC153">
        <f t="shared" si="55"/>
        <v>0</v>
      </c>
      <c r="AD153">
        <f t="shared" si="56"/>
        <v>0</v>
      </c>
      <c r="AE153">
        <f t="shared" si="57"/>
        <v>0</v>
      </c>
      <c r="AF153">
        <f>ROUND((SUM(SmtRes!BT66:'SmtRes'!BT67)),6)</f>
        <v>1873.3517999999999</v>
      </c>
      <c r="AG153">
        <f t="shared" si="58"/>
        <v>0</v>
      </c>
      <c r="AH153">
        <f>(SUM(SmtRes!BU66:'SmtRes'!BU67))</f>
        <v>3.24</v>
      </c>
      <c r="AI153">
        <f>(0)</f>
        <v>0</v>
      </c>
      <c r="AJ153">
        <f t="shared" si="59"/>
        <v>0</v>
      </c>
      <c r="AK153">
        <v>1873.3518000000004</v>
      </c>
      <c r="AL153">
        <v>0</v>
      </c>
      <c r="AM153">
        <v>0</v>
      </c>
      <c r="AN153">
        <v>0</v>
      </c>
      <c r="AO153">
        <v>1873.3518000000004</v>
      </c>
      <c r="AP153">
        <v>0</v>
      </c>
      <c r="AQ153">
        <v>3.24</v>
      </c>
      <c r="AR153">
        <v>0</v>
      </c>
      <c r="AS153">
        <v>0</v>
      </c>
      <c r="AT153">
        <v>74</v>
      </c>
      <c r="AU153">
        <v>36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179</v>
      </c>
      <c r="BM153">
        <v>200001</v>
      </c>
      <c r="BN153">
        <v>0</v>
      </c>
      <c r="BO153" t="s">
        <v>3</v>
      </c>
      <c r="BP153">
        <v>0</v>
      </c>
      <c r="BQ153">
        <v>4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74</v>
      </c>
      <c r="CA153">
        <v>36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60"/>
        <v>3746.71</v>
      </c>
      <c r="CQ153">
        <f>SUMIF(SmtRes!AQ66:'SmtRes'!AQ67,"=1",SmtRes!AA66:'SmtRes'!AA67)</f>
        <v>0</v>
      </c>
      <c r="CR153">
        <f>SUMIF(SmtRes!AQ66:'SmtRes'!AQ67,"=1",SmtRes!AB66:'SmtRes'!AB67)</f>
        <v>0</v>
      </c>
      <c r="CS153">
        <f>SUMIF(SmtRes!AQ66:'SmtRes'!AQ67,"=1",SmtRes!AC66:'SmtRes'!AC67)</f>
        <v>0</v>
      </c>
      <c r="CT153">
        <f>SUMIF(SmtRes!AQ66:'SmtRes'!AQ67,"=1",SmtRes!AD66:'SmtRes'!AD67)</f>
        <v>1156.3900000000001</v>
      </c>
      <c r="CU153">
        <f t="shared" si="61"/>
        <v>0</v>
      </c>
      <c r="CV153">
        <f>SUMIF(SmtRes!AQ66:'SmtRes'!AQ67,"=1",SmtRes!BU66:'SmtRes'!BU67)</f>
        <v>3.24</v>
      </c>
      <c r="CW153">
        <f>SUMIF(SmtRes!AQ66:'SmtRes'!AQ67,"=1",SmtRes!BV66:'SmtRes'!BV67)</f>
        <v>0</v>
      </c>
      <c r="CX153">
        <f t="shared" si="62"/>
        <v>0</v>
      </c>
      <c r="CY153">
        <f t="shared" si="63"/>
        <v>2772.5654</v>
      </c>
      <c r="CZ153">
        <f t="shared" si="64"/>
        <v>1348.8155999999999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1013</v>
      </c>
      <c r="DV153" t="s">
        <v>165</v>
      </c>
      <c r="DW153" t="s">
        <v>165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60393238</v>
      </c>
      <c r="EF153">
        <v>4</v>
      </c>
      <c r="EG153" t="s">
        <v>111</v>
      </c>
      <c r="EH153">
        <v>83</v>
      </c>
      <c r="EI153" t="s">
        <v>111</v>
      </c>
      <c r="EJ153">
        <v>4</v>
      </c>
      <c r="EK153">
        <v>200001</v>
      </c>
      <c r="EL153" t="s">
        <v>116</v>
      </c>
      <c r="EM153" t="s">
        <v>117</v>
      </c>
      <c r="EO153" t="s">
        <v>3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3.24</v>
      </c>
      <c r="EX153">
        <v>0</v>
      </c>
      <c r="EY153">
        <v>0</v>
      </c>
      <c r="FQ153">
        <v>0</v>
      </c>
      <c r="FR153">
        <f t="shared" si="65"/>
        <v>0</v>
      </c>
      <c r="FS153">
        <v>0</v>
      </c>
      <c r="FX153">
        <v>74</v>
      </c>
      <c r="FY153">
        <v>36</v>
      </c>
      <c r="GA153" t="s">
        <v>3</v>
      </c>
      <c r="GD153">
        <v>1</v>
      </c>
      <c r="GF153">
        <v>323254439</v>
      </c>
      <c r="GG153">
        <v>2</v>
      </c>
      <c r="GH153">
        <v>1</v>
      </c>
      <c r="GI153">
        <v>-2</v>
      </c>
      <c r="GJ153">
        <v>0</v>
      </c>
      <c r="GK153">
        <v>0</v>
      </c>
      <c r="GL153">
        <f t="shared" si="66"/>
        <v>0</v>
      </c>
      <c r="GM153">
        <f t="shared" si="67"/>
        <v>7868.1</v>
      </c>
      <c r="GN153">
        <f t="shared" si="68"/>
        <v>0</v>
      </c>
      <c r="GO153">
        <f t="shared" si="69"/>
        <v>0</v>
      </c>
      <c r="GP153">
        <f t="shared" si="70"/>
        <v>7868.1</v>
      </c>
      <c r="GR153">
        <v>0</v>
      </c>
      <c r="GS153">
        <v>0</v>
      </c>
      <c r="GT153">
        <v>0</v>
      </c>
      <c r="GU153" t="s">
        <v>3</v>
      </c>
      <c r="GV153">
        <f t="shared" si="71"/>
        <v>0</v>
      </c>
      <c r="GW153">
        <v>1</v>
      </c>
      <c r="GX153">
        <f t="shared" si="72"/>
        <v>0</v>
      </c>
      <c r="HA153">
        <v>0</v>
      </c>
      <c r="HB153">
        <v>0</v>
      </c>
      <c r="HC153">
        <f t="shared" si="73"/>
        <v>0</v>
      </c>
      <c r="HE153" t="s">
        <v>3</v>
      </c>
      <c r="HF153" t="s">
        <v>3</v>
      </c>
      <c r="HM153" t="s">
        <v>3</v>
      </c>
      <c r="HN153" t="s">
        <v>118</v>
      </c>
      <c r="HO153" t="s">
        <v>119</v>
      </c>
      <c r="HP153" t="s">
        <v>111</v>
      </c>
      <c r="HQ153" t="s">
        <v>111</v>
      </c>
      <c r="IK153">
        <v>0</v>
      </c>
    </row>
    <row r="155" spans="1:245" x14ac:dyDescent="0.2">
      <c r="A155" s="2">
        <v>51</v>
      </c>
      <c r="B155" s="2">
        <f>B135</f>
        <v>1</v>
      </c>
      <c r="C155" s="2">
        <f>A135</f>
        <v>4</v>
      </c>
      <c r="D155" s="2">
        <f>ROW(A135)</f>
        <v>135</v>
      </c>
      <c r="E155" s="2"/>
      <c r="F155" s="2" t="str">
        <f>IF(F135&lt;&gt;"",F135,"")</f>
        <v>Новый раздел</v>
      </c>
      <c r="G155" s="2" t="str">
        <f>IF(G135&lt;&gt;"",G135,"")</f>
        <v>Пусконаладочные работы</v>
      </c>
      <c r="H155" s="2">
        <v>0</v>
      </c>
      <c r="I155" s="2"/>
      <c r="J155" s="2"/>
      <c r="K155" s="2"/>
      <c r="L155" s="2"/>
      <c r="M155" s="2"/>
      <c r="N155" s="2"/>
      <c r="O155" s="2">
        <f t="shared" ref="O155:T155" si="74">ROUND(AB155,2)</f>
        <v>118782.69</v>
      </c>
      <c r="P155" s="2">
        <f t="shared" si="74"/>
        <v>0</v>
      </c>
      <c r="Q155" s="2">
        <f t="shared" si="74"/>
        <v>0</v>
      </c>
      <c r="R155" s="2">
        <f t="shared" si="74"/>
        <v>0</v>
      </c>
      <c r="S155" s="2">
        <f t="shared" si="74"/>
        <v>118782.69</v>
      </c>
      <c r="T155" s="2">
        <f t="shared" si="74"/>
        <v>0</v>
      </c>
      <c r="U155" s="2">
        <f>AH155</f>
        <v>215.31919999999997</v>
      </c>
      <c r="V155" s="2">
        <f>AI155</f>
        <v>0</v>
      </c>
      <c r="W155" s="2">
        <f>ROUND(AJ155,2)</f>
        <v>0</v>
      </c>
      <c r="X155" s="2">
        <f>ROUND(AK155,2)</f>
        <v>87899.199999999997</v>
      </c>
      <c r="Y155" s="2">
        <f>ROUND(AL155,2)</f>
        <v>42761.78</v>
      </c>
      <c r="Z155" s="2"/>
      <c r="AA155" s="2"/>
      <c r="AB155" s="2">
        <f>ROUND(SUMIF(AA139:AA153,"=61625010",O139:O153),2)</f>
        <v>118782.69</v>
      </c>
      <c r="AC155" s="2">
        <f>ROUND(SUMIF(AA139:AA153,"=61625010",P139:P153),2)</f>
        <v>0</v>
      </c>
      <c r="AD155" s="2">
        <f>ROUND(SUMIF(AA139:AA153,"=61625010",Q139:Q153),2)</f>
        <v>0</v>
      </c>
      <c r="AE155" s="2">
        <f>ROUND(SUMIF(AA139:AA153,"=61625010",R139:R153),2)</f>
        <v>0</v>
      </c>
      <c r="AF155" s="2">
        <f>ROUND(SUMIF(AA139:AA153,"=61625010",S139:S153),2)</f>
        <v>118782.69</v>
      </c>
      <c r="AG155" s="2">
        <f>ROUND(SUMIF(AA139:AA153,"=61625010",T139:T153),2)</f>
        <v>0</v>
      </c>
      <c r="AH155" s="2">
        <f>SUMIF(AA139:AA153,"=61625010",U139:U153)</f>
        <v>215.31919999999997</v>
      </c>
      <c r="AI155" s="2">
        <f>SUMIF(AA139:AA153,"=61625010",V139:V153)</f>
        <v>0</v>
      </c>
      <c r="AJ155" s="2">
        <f>ROUND(SUMIF(AA139:AA153,"=61625010",W139:W153),2)</f>
        <v>0</v>
      </c>
      <c r="AK155" s="2">
        <f>ROUND(SUMIF(AA139:AA153,"=61625010",X139:X153),2)</f>
        <v>87899.199999999997</v>
      </c>
      <c r="AL155" s="2">
        <f>ROUND(SUMIF(AA139:AA153,"=61625010",Y139:Y153),2)</f>
        <v>42761.78</v>
      </c>
      <c r="AM155" s="2"/>
      <c r="AN155" s="2"/>
      <c r="AO155" s="2">
        <f t="shared" ref="AO155:BD155" si="75">ROUND(BX155,2)</f>
        <v>0</v>
      </c>
      <c r="AP155" s="2">
        <f t="shared" si="75"/>
        <v>0</v>
      </c>
      <c r="AQ155" s="2">
        <f t="shared" si="75"/>
        <v>0</v>
      </c>
      <c r="AR155" s="2">
        <f t="shared" si="75"/>
        <v>249443.67</v>
      </c>
      <c r="AS155" s="2">
        <f t="shared" si="75"/>
        <v>0</v>
      </c>
      <c r="AT155" s="2">
        <f t="shared" si="75"/>
        <v>0</v>
      </c>
      <c r="AU155" s="2">
        <f t="shared" si="75"/>
        <v>249443.67</v>
      </c>
      <c r="AV155" s="2">
        <f t="shared" si="75"/>
        <v>0</v>
      </c>
      <c r="AW155" s="2">
        <f t="shared" si="75"/>
        <v>0</v>
      </c>
      <c r="AX155" s="2">
        <f t="shared" si="75"/>
        <v>0</v>
      </c>
      <c r="AY155" s="2">
        <f t="shared" si="75"/>
        <v>0</v>
      </c>
      <c r="AZ155" s="2">
        <f t="shared" si="75"/>
        <v>0</v>
      </c>
      <c r="BA155" s="2">
        <f t="shared" si="75"/>
        <v>0</v>
      </c>
      <c r="BB155" s="2">
        <f t="shared" si="75"/>
        <v>0</v>
      </c>
      <c r="BC155" s="2">
        <f t="shared" si="75"/>
        <v>0</v>
      </c>
      <c r="BD155" s="2">
        <f t="shared" si="75"/>
        <v>0</v>
      </c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>
        <f>ROUND(SUMIF(AA139:AA153,"=61625010",FQ139:FQ153),2)</f>
        <v>0</v>
      </c>
      <c r="BY155" s="2">
        <f>ROUND(SUMIF(AA139:AA153,"=61625010",FR139:FR153),2)</f>
        <v>0</v>
      </c>
      <c r="BZ155" s="2">
        <f>ROUND(SUMIF(AA139:AA153,"=61625010",GL139:GL153),2)</f>
        <v>0</v>
      </c>
      <c r="CA155" s="2">
        <f>ROUND(SUMIF(AA139:AA153,"=61625010",GM139:GM153),2)</f>
        <v>249443.67</v>
      </c>
      <c r="CB155" s="2">
        <f>ROUND(SUMIF(AA139:AA153,"=61625010",GN139:GN153),2)</f>
        <v>0</v>
      </c>
      <c r="CC155" s="2">
        <f>ROUND(SUMIF(AA139:AA153,"=61625010",GO139:GO153),2)</f>
        <v>0</v>
      </c>
      <c r="CD155" s="2">
        <f>ROUND(SUMIF(AA139:AA153,"=61625010",GP139:GP153),2)</f>
        <v>249443.67</v>
      </c>
      <c r="CE155" s="2">
        <f>AC155-BX155</f>
        <v>0</v>
      </c>
      <c r="CF155" s="2">
        <f>AC155-BY155</f>
        <v>0</v>
      </c>
      <c r="CG155" s="2">
        <f>BX155-BZ155</f>
        <v>0</v>
      </c>
      <c r="CH155" s="2">
        <f>AC155-BX155-BY155+BZ155</f>
        <v>0</v>
      </c>
      <c r="CI155" s="2">
        <f>BY155-BZ155</f>
        <v>0</v>
      </c>
      <c r="CJ155" s="2">
        <f>ROUND(SUMIF(AA139:AA153,"=61625010",GX139:GX153),2)</f>
        <v>0</v>
      </c>
      <c r="CK155" s="2">
        <f>ROUND(SUMIF(AA139:AA153,"=61625010",GY139:GY153),2)</f>
        <v>0</v>
      </c>
      <c r="CL155" s="2">
        <f>ROUND(SUMIF(AA139:AA153,"=61625010",GZ139:GZ153),2)</f>
        <v>0</v>
      </c>
      <c r="CM155" s="2">
        <f>ROUND(SUMIF(AA139:AA153,"=61625010",HD139:HD153),2)</f>
        <v>0</v>
      </c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>
        <v>0</v>
      </c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201</v>
      </c>
      <c r="F157" s="4">
        <f>ROUND(Source!O155,O157)</f>
        <v>118782.69</v>
      </c>
      <c r="G157" s="4" t="s">
        <v>39</v>
      </c>
      <c r="H157" s="4" t="s">
        <v>40</v>
      </c>
      <c r="I157" s="4"/>
      <c r="J157" s="4"/>
      <c r="K157" s="4">
        <v>201</v>
      </c>
      <c r="L157" s="4">
        <v>1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118782.69000000002</v>
      </c>
      <c r="X157" s="4">
        <v>1</v>
      </c>
      <c r="Y157" s="4">
        <v>118782.69000000002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202</v>
      </c>
      <c r="F158" s="4">
        <f>ROUND(Source!P155,O158)</f>
        <v>0</v>
      </c>
      <c r="G158" s="4" t="s">
        <v>41</v>
      </c>
      <c r="H158" s="4" t="s">
        <v>42</v>
      </c>
      <c r="I158" s="4"/>
      <c r="J158" s="4"/>
      <c r="K158" s="4">
        <v>202</v>
      </c>
      <c r="L158" s="4">
        <v>2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222</v>
      </c>
      <c r="F159" s="4">
        <f>ROUND(Source!AO155,O159)</f>
        <v>0</v>
      </c>
      <c r="G159" s="4" t="s">
        <v>43</v>
      </c>
      <c r="H159" s="4" t="s">
        <v>44</v>
      </c>
      <c r="I159" s="4"/>
      <c r="J159" s="4"/>
      <c r="K159" s="4">
        <v>222</v>
      </c>
      <c r="L159" s="4">
        <v>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225</v>
      </c>
      <c r="F160" s="4">
        <f>ROUND(Source!AV155,O160)</f>
        <v>0</v>
      </c>
      <c r="G160" s="4" t="s">
        <v>45</v>
      </c>
      <c r="H160" s="4" t="s">
        <v>46</v>
      </c>
      <c r="I160" s="4"/>
      <c r="J160" s="4"/>
      <c r="K160" s="4">
        <v>225</v>
      </c>
      <c r="L160" s="4">
        <v>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226</v>
      </c>
      <c r="F161" s="4">
        <f>ROUND(Source!AW155,O161)</f>
        <v>0</v>
      </c>
      <c r="G161" s="4" t="s">
        <v>47</v>
      </c>
      <c r="H161" s="4" t="s">
        <v>48</v>
      </c>
      <c r="I161" s="4"/>
      <c r="J161" s="4"/>
      <c r="K161" s="4">
        <v>226</v>
      </c>
      <c r="L161" s="4">
        <v>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227</v>
      </c>
      <c r="F162" s="4">
        <f>ROUND(Source!AX155,O162)</f>
        <v>0</v>
      </c>
      <c r="G162" s="4" t="s">
        <v>49</v>
      </c>
      <c r="H162" s="4" t="s">
        <v>50</v>
      </c>
      <c r="I162" s="4"/>
      <c r="J162" s="4"/>
      <c r="K162" s="4">
        <v>227</v>
      </c>
      <c r="L162" s="4">
        <v>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228</v>
      </c>
      <c r="F163" s="4">
        <f>ROUND(Source!AY155,O163)</f>
        <v>0</v>
      </c>
      <c r="G163" s="4" t="s">
        <v>51</v>
      </c>
      <c r="H163" s="4" t="s">
        <v>52</v>
      </c>
      <c r="I163" s="4"/>
      <c r="J163" s="4"/>
      <c r="K163" s="4">
        <v>228</v>
      </c>
      <c r="L163" s="4">
        <v>7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216</v>
      </c>
      <c r="F164" s="4">
        <f>ROUND(Source!AP155,O164)</f>
        <v>0</v>
      </c>
      <c r="G164" s="4" t="s">
        <v>53</v>
      </c>
      <c r="H164" s="4" t="s">
        <v>54</v>
      </c>
      <c r="I164" s="4"/>
      <c r="J164" s="4"/>
      <c r="K164" s="4">
        <v>216</v>
      </c>
      <c r="L164" s="4">
        <v>8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223</v>
      </c>
      <c r="F165" s="4">
        <f>ROUND(Source!AQ155,O165)</f>
        <v>0</v>
      </c>
      <c r="G165" s="4" t="s">
        <v>55</v>
      </c>
      <c r="H165" s="4" t="s">
        <v>56</v>
      </c>
      <c r="I165" s="4"/>
      <c r="J165" s="4"/>
      <c r="K165" s="4">
        <v>223</v>
      </c>
      <c r="L165" s="4">
        <v>9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229</v>
      </c>
      <c r="F166" s="4">
        <f>ROUND(Source!AZ155,O166)</f>
        <v>0</v>
      </c>
      <c r="G166" s="4" t="s">
        <v>57</v>
      </c>
      <c r="H166" s="4" t="s">
        <v>58</v>
      </c>
      <c r="I166" s="4"/>
      <c r="J166" s="4"/>
      <c r="K166" s="4">
        <v>229</v>
      </c>
      <c r="L166" s="4">
        <v>10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203</v>
      </c>
      <c r="F167" s="4">
        <f>ROUND(Source!Q155,O167)</f>
        <v>0</v>
      </c>
      <c r="G167" s="4" t="s">
        <v>59</v>
      </c>
      <c r="H167" s="4" t="s">
        <v>60</v>
      </c>
      <c r="I167" s="4"/>
      <c r="J167" s="4"/>
      <c r="K167" s="4">
        <v>203</v>
      </c>
      <c r="L167" s="4">
        <v>11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231</v>
      </c>
      <c r="F168" s="4">
        <f>ROUND(Source!BB155,O168)</f>
        <v>0</v>
      </c>
      <c r="G168" s="4" t="s">
        <v>61</v>
      </c>
      <c r="H168" s="4" t="s">
        <v>62</v>
      </c>
      <c r="I168" s="4"/>
      <c r="J168" s="4"/>
      <c r="K168" s="4">
        <v>231</v>
      </c>
      <c r="L168" s="4">
        <v>12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204</v>
      </c>
      <c r="F169" s="4">
        <f>ROUND(Source!R155,O169)</f>
        <v>0</v>
      </c>
      <c r="G169" s="4" t="s">
        <v>63</v>
      </c>
      <c r="H169" s="4" t="s">
        <v>64</v>
      </c>
      <c r="I169" s="4"/>
      <c r="J169" s="4"/>
      <c r="K169" s="4">
        <v>204</v>
      </c>
      <c r="L169" s="4">
        <v>13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205</v>
      </c>
      <c r="F170" s="4">
        <f>ROUND(Source!S155,O170)</f>
        <v>118782.69</v>
      </c>
      <c r="G170" s="4" t="s">
        <v>65</v>
      </c>
      <c r="H170" s="4" t="s">
        <v>66</v>
      </c>
      <c r="I170" s="4"/>
      <c r="J170" s="4"/>
      <c r="K170" s="4">
        <v>205</v>
      </c>
      <c r="L170" s="4">
        <v>14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118782.69000000002</v>
      </c>
      <c r="X170" s="4">
        <v>1</v>
      </c>
      <c r="Y170" s="4">
        <v>118782.69000000002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232</v>
      </c>
      <c r="F171" s="4">
        <f>ROUND(Source!BC155,O171)</f>
        <v>0</v>
      </c>
      <c r="G171" s="4" t="s">
        <v>67</v>
      </c>
      <c r="H171" s="4" t="s">
        <v>68</v>
      </c>
      <c r="I171" s="4"/>
      <c r="J171" s="4"/>
      <c r="K171" s="4">
        <v>232</v>
      </c>
      <c r="L171" s="4">
        <v>15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214</v>
      </c>
      <c r="F172" s="4">
        <f>ROUND(Source!AS155,O172)</f>
        <v>0</v>
      </c>
      <c r="G172" s="4" t="s">
        <v>69</v>
      </c>
      <c r="H172" s="4" t="s">
        <v>70</v>
      </c>
      <c r="I172" s="4"/>
      <c r="J172" s="4"/>
      <c r="K172" s="4">
        <v>214</v>
      </c>
      <c r="L172" s="4">
        <v>16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215</v>
      </c>
      <c r="F173" s="4">
        <f>ROUND(Source!AT155,O173)</f>
        <v>0</v>
      </c>
      <c r="G173" s="4" t="s">
        <v>71</v>
      </c>
      <c r="H173" s="4" t="s">
        <v>72</v>
      </c>
      <c r="I173" s="4"/>
      <c r="J173" s="4"/>
      <c r="K173" s="4">
        <v>215</v>
      </c>
      <c r="L173" s="4">
        <v>17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217</v>
      </c>
      <c r="F174" s="4">
        <f>ROUND(Source!AU155,O174)</f>
        <v>249443.67</v>
      </c>
      <c r="G174" s="4" t="s">
        <v>73</v>
      </c>
      <c r="H174" s="4" t="s">
        <v>74</v>
      </c>
      <c r="I174" s="4"/>
      <c r="J174" s="4"/>
      <c r="K174" s="4">
        <v>217</v>
      </c>
      <c r="L174" s="4">
        <v>18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249443.67</v>
      </c>
      <c r="X174" s="4">
        <v>1</v>
      </c>
      <c r="Y174" s="4">
        <v>249443.67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230</v>
      </c>
      <c r="F175" s="4">
        <f>ROUND(Source!BA155,O175)</f>
        <v>0</v>
      </c>
      <c r="G175" s="4" t="s">
        <v>75</v>
      </c>
      <c r="H175" s="4" t="s">
        <v>76</v>
      </c>
      <c r="I175" s="4"/>
      <c r="J175" s="4"/>
      <c r="K175" s="4">
        <v>230</v>
      </c>
      <c r="L175" s="4">
        <v>19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206</v>
      </c>
      <c r="F176" s="4">
        <f>ROUND(Source!T155,O176)</f>
        <v>0</v>
      </c>
      <c r="G176" s="4" t="s">
        <v>77</v>
      </c>
      <c r="H176" s="4" t="s">
        <v>78</v>
      </c>
      <c r="I176" s="4"/>
      <c r="J176" s="4"/>
      <c r="K176" s="4">
        <v>206</v>
      </c>
      <c r="L176" s="4">
        <v>20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207</v>
      </c>
      <c r="F177" s="4">
        <f>ROUND(Source!U155,O177)</f>
        <v>215.3192</v>
      </c>
      <c r="G177" s="4" t="s">
        <v>79</v>
      </c>
      <c r="H177" s="4" t="s">
        <v>80</v>
      </c>
      <c r="I177" s="4"/>
      <c r="J177" s="4"/>
      <c r="K177" s="4">
        <v>207</v>
      </c>
      <c r="L177" s="4">
        <v>21</v>
      </c>
      <c r="M177" s="4">
        <v>3</v>
      </c>
      <c r="N177" s="4" t="s">
        <v>3</v>
      </c>
      <c r="O177" s="4">
        <v>7</v>
      </c>
      <c r="P177" s="4"/>
      <c r="Q177" s="4"/>
      <c r="R177" s="4"/>
      <c r="S177" s="4"/>
      <c r="T177" s="4"/>
      <c r="U177" s="4"/>
      <c r="V177" s="4"/>
      <c r="W177" s="4">
        <v>215.3192</v>
      </c>
      <c r="X177" s="4">
        <v>1</v>
      </c>
      <c r="Y177" s="4">
        <v>215.3192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208</v>
      </c>
      <c r="F178" s="4">
        <f>ROUND(Source!V155,O178)</f>
        <v>0</v>
      </c>
      <c r="G178" s="4" t="s">
        <v>81</v>
      </c>
      <c r="H178" s="4" t="s">
        <v>82</v>
      </c>
      <c r="I178" s="4"/>
      <c r="J178" s="4"/>
      <c r="K178" s="4">
        <v>208</v>
      </c>
      <c r="L178" s="4">
        <v>22</v>
      </c>
      <c r="M178" s="4">
        <v>3</v>
      </c>
      <c r="N178" s="4" t="s">
        <v>3</v>
      </c>
      <c r="O178" s="4">
        <v>7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209</v>
      </c>
      <c r="F179" s="4">
        <f>ROUND(Source!W155,O179)</f>
        <v>0</v>
      </c>
      <c r="G179" s="4" t="s">
        <v>83</v>
      </c>
      <c r="H179" s="4" t="s">
        <v>84</v>
      </c>
      <c r="I179" s="4"/>
      <c r="J179" s="4"/>
      <c r="K179" s="4">
        <v>209</v>
      </c>
      <c r="L179" s="4">
        <v>23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233</v>
      </c>
      <c r="F180" s="4">
        <f>ROUND(Source!BD155,O180)</f>
        <v>0</v>
      </c>
      <c r="G180" s="4" t="s">
        <v>85</v>
      </c>
      <c r="H180" s="4" t="s">
        <v>86</v>
      </c>
      <c r="I180" s="4"/>
      <c r="J180" s="4"/>
      <c r="K180" s="4">
        <v>233</v>
      </c>
      <c r="L180" s="4">
        <v>24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210</v>
      </c>
      <c r="F181" s="4">
        <f>ROUND(Source!X155,O181)</f>
        <v>87899.199999999997</v>
      </c>
      <c r="G181" s="4" t="s">
        <v>87</v>
      </c>
      <c r="H181" s="4" t="s">
        <v>88</v>
      </c>
      <c r="I181" s="4"/>
      <c r="J181" s="4"/>
      <c r="K181" s="4">
        <v>210</v>
      </c>
      <c r="L181" s="4">
        <v>25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87899.199999999997</v>
      </c>
      <c r="X181" s="4">
        <v>1</v>
      </c>
      <c r="Y181" s="4">
        <v>87899.199999999997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211</v>
      </c>
      <c r="F182" s="4">
        <f>ROUND(Source!Y155,O182)</f>
        <v>42761.78</v>
      </c>
      <c r="G182" s="4" t="s">
        <v>89</v>
      </c>
      <c r="H182" s="4" t="s">
        <v>90</v>
      </c>
      <c r="I182" s="4"/>
      <c r="J182" s="4"/>
      <c r="K182" s="4">
        <v>211</v>
      </c>
      <c r="L182" s="4">
        <v>26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42761.78</v>
      </c>
      <c r="X182" s="4">
        <v>1</v>
      </c>
      <c r="Y182" s="4">
        <v>42761.78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224</v>
      </c>
      <c r="F183" s="4">
        <f>ROUND(Source!AR155,O183)</f>
        <v>249443.67</v>
      </c>
      <c r="G183" s="4" t="s">
        <v>91</v>
      </c>
      <c r="H183" s="4" t="s">
        <v>92</v>
      </c>
      <c r="I183" s="4"/>
      <c r="J183" s="4"/>
      <c r="K183" s="4">
        <v>224</v>
      </c>
      <c r="L183" s="4">
        <v>27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249443.67</v>
      </c>
      <c r="X183" s="4">
        <v>1</v>
      </c>
      <c r="Y183" s="4">
        <v>249443.67</v>
      </c>
      <c r="Z183" s="4"/>
      <c r="AA183" s="4"/>
      <c r="AB183" s="4"/>
    </row>
    <row r="185" spans="1:206" x14ac:dyDescent="0.2">
      <c r="A185" s="2">
        <v>51</v>
      </c>
      <c r="B185" s="2">
        <f>B20</f>
        <v>1</v>
      </c>
      <c r="C185" s="2">
        <f>A20</f>
        <v>3</v>
      </c>
      <c r="D185" s="2">
        <f>ROW(A20)</f>
        <v>20</v>
      </c>
      <c r="E185" s="2"/>
      <c r="F185" s="2" t="str">
        <f>IF(F20&lt;&gt;"",F20,"")</f>
        <v>Новая локальная смета</v>
      </c>
      <c r="G185" s="2" t="str">
        <f>IF(G20&lt;&gt;"",G20,"")</f>
        <v>Реконструкция ТП-1372 по адресу: г.Москва, поселение Щаповское, п.Курилово, (инв. № 43314343)</v>
      </c>
      <c r="H185" s="2">
        <v>0</v>
      </c>
      <c r="I185" s="2"/>
      <c r="J185" s="2"/>
      <c r="K185" s="2"/>
      <c r="L185" s="2"/>
      <c r="M185" s="2"/>
      <c r="N185" s="2"/>
      <c r="O185" s="2">
        <f t="shared" ref="O185:T185" si="76">ROUND(O31+O68+O105+O155+AB185,2)</f>
        <v>1762016.17</v>
      </c>
      <c r="P185" s="2">
        <f t="shared" si="76"/>
        <v>1608025.06</v>
      </c>
      <c r="Q185" s="2">
        <f t="shared" si="76"/>
        <v>5321.48</v>
      </c>
      <c r="R185" s="2">
        <f t="shared" si="76"/>
        <v>2825.68</v>
      </c>
      <c r="S185" s="2">
        <f t="shared" si="76"/>
        <v>145843.95000000001</v>
      </c>
      <c r="T185" s="2">
        <f t="shared" si="76"/>
        <v>0</v>
      </c>
      <c r="U185" s="2">
        <f>U31+U68+U105+U155+AH185</f>
        <v>277.49039999999997</v>
      </c>
      <c r="V185" s="2">
        <f>V31+V68+V105+V155+AI185</f>
        <v>5.5949919999999995</v>
      </c>
      <c r="W185" s="2">
        <f>ROUND(W31+W68+W105+W155+AJ185,2)</f>
        <v>0</v>
      </c>
      <c r="X185" s="2">
        <f>ROUND(X31+X68+X105+X155+AK185,2)</f>
        <v>116889.53</v>
      </c>
      <c r="Y185" s="2">
        <f>ROUND(Y31+Y68+Y105+Y155+AL185,2)</f>
        <v>58004.12</v>
      </c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>
        <f t="shared" ref="AO185:BD185" si="77">ROUND(AO31+AO68+AO105+AO155+BX185,2)</f>
        <v>0</v>
      </c>
      <c r="AP185" s="2">
        <f t="shared" si="77"/>
        <v>0</v>
      </c>
      <c r="AQ185" s="2">
        <f t="shared" si="77"/>
        <v>0</v>
      </c>
      <c r="AR185" s="2">
        <f t="shared" si="77"/>
        <v>1936909.82</v>
      </c>
      <c r="AS185" s="2">
        <f t="shared" si="77"/>
        <v>1606416.66</v>
      </c>
      <c r="AT185" s="2">
        <f t="shared" si="77"/>
        <v>81049.490000000005</v>
      </c>
      <c r="AU185" s="2">
        <f t="shared" si="77"/>
        <v>249443.67</v>
      </c>
      <c r="AV185" s="2">
        <f t="shared" si="77"/>
        <v>1608025.06</v>
      </c>
      <c r="AW185" s="2">
        <f t="shared" si="77"/>
        <v>1608025.06</v>
      </c>
      <c r="AX185" s="2">
        <f t="shared" si="77"/>
        <v>0</v>
      </c>
      <c r="AY185" s="2">
        <f t="shared" si="77"/>
        <v>1608025.06</v>
      </c>
      <c r="AZ185" s="2">
        <f t="shared" si="77"/>
        <v>0</v>
      </c>
      <c r="BA185" s="2">
        <f t="shared" si="77"/>
        <v>0</v>
      </c>
      <c r="BB185" s="2">
        <f t="shared" si="77"/>
        <v>0</v>
      </c>
      <c r="BC185" s="2">
        <f t="shared" si="77"/>
        <v>0</v>
      </c>
      <c r="BD185" s="2">
        <f t="shared" si="77"/>
        <v>0</v>
      </c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>
        <v>0</v>
      </c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201</v>
      </c>
      <c r="F187" s="4">
        <f>ROUND(Source!O185,O187)</f>
        <v>1762016.17</v>
      </c>
      <c r="G187" s="4" t="s">
        <v>39</v>
      </c>
      <c r="H187" s="4" t="s">
        <v>40</v>
      </c>
      <c r="I187" s="4"/>
      <c r="J187" s="4"/>
      <c r="K187" s="4">
        <v>201</v>
      </c>
      <c r="L187" s="4">
        <v>1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1762016.17</v>
      </c>
      <c r="X187" s="4">
        <v>1</v>
      </c>
      <c r="Y187" s="4">
        <v>1762016.17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202</v>
      </c>
      <c r="F188" s="4">
        <f>ROUND(Source!P185,O188)</f>
        <v>1608025.06</v>
      </c>
      <c r="G188" s="4" t="s">
        <v>41</v>
      </c>
      <c r="H188" s="4" t="s">
        <v>42</v>
      </c>
      <c r="I188" s="4"/>
      <c r="J188" s="4"/>
      <c r="K188" s="4">
        <v>202</v>
      </c>
      <c r="L188" s="4">
        <v>2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1608025.06</v>
      </c>
      <c r="X188" s="4">
        <v>1</v>
      </c>
      <c r="Y188" s="4">
        <v>1608025.06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222</v>
      </c>
      <c r="F189" s="4">
        <f>ROUND(Source!AO185,O189)</f>
        <v>0</v>
      </c>
      <c r="G189" s="4" t="s">
        <v>43</v>
      </c>
      <c r="H189" s="4" t="s">
        <v>44</v>
      </c>
      <c r="I189" s="4"/>
      <c r="J189" s="4"/>
      <c r="K189" s="4">
        <v>222</v>
      </c>
      <c r="L189" s="4">
        <v>3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225</v>
      </c>
      <c r="F190" s="4">
        <f>ROUND(Source!AV185,O190)</f>
        <v>1608025.06</v>
      </c>
      <c r="G190" s="4" t="s">
        <v>45</v>
      </c>
      <c r="H190" s="4" t="s">
        <v>46</v>
      </c>
      <c r="I190" s="4"/>
      <c r="J190" s="4"/>
      <c r="K190" s="4">
        <v>225</v>
      </c>
      <c r="L190" s="4">
        <v>4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1608025.06</v>
      </c>
      <c r="X190" s="4">
        <v>1</v>
      </c>
      <c r="Y190" s="4">
        <v>1608025.06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226</v>
      </c>
      <c r="F191" s="4">
        <f>ROUND(Source!AW185,O191)</f>
        <v>1608025.06</v>
      </c>
      <c r="G191" s="4" t="s">
        <v>47</v>
      </c>
      <c r="H191" s="4" t="s">
        <v>48</v>
      </c>
      <c r="I191" s="4"/>
      <c r="J191" s="4"/>
      <c r="K191" s="4">
        <v>226</v>
      </c>
      <c r="L191" s="4">
        <v>5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1608025.06</v>
      </c>
      <c r="X191" s="4">
        <v>1</v>
      </c>
      <c r="Y191" s="4">
        <v>1608025.06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227</v>
      </c>
      <c r="F192" s="4">
        <f>ROUND(Source!AX185,O192)</f>
        <v>0</v>
      </c>
      <c r="G192" s="4" t="s">
        <v>49</v>
      </c>
      <c r="H192" s="4" t="s">
        <v>50</v>
      </c>
      <c r="I192" s="4"/>
      <c r="J192" s="4"/>
      <c r="K192" s="4">
        <v>227</v>
      </c>
      <c r="L192" s="4">
        <v>6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228</v>
      </c>
      <c r="F193" s="4">
        <f>ROUND(Source!AY185,O193)</f>
        <v>1608025.06</v>
      </c>
      <c r="G193" s="4" t="s">
        <v>51</v>
      </c>
      <c r="H193" s="4" t="s">
        <v>52</v>
      </c>
      <c r="I193" s="4"/>
      <c r="J193" s="4"/>
      <c r="K193" s="4">
        <v>228</v>
      </c>
      <c r="L193" s="4">
        <v>7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1608025.06</v>
      </c>
      <c r="X193" s="4">
        <v>1</v>
      </c>
      <c r="Y193" s="4">
        <v>1608025.06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216</v>
      </c>
      <c r="F194" s="4">
        <f>ROUND(Source!AP185,O194)</f>
        <v>0</v>
      </c>
      <c r="G194" s="4" t="s">
        <v>53</v>
      </c>
      <c r="H194" s="4" t="s">
        <v>54</v>
      </c>
      <c r="I194" s="4"/>
      <c r="J194" s="4"/>
      <c r="K194" s="4">
        <v>216</v>
      </c>
      <c r="L194" s="4">
        <v>8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223</v>
      </c>
      <c r="F195" s="4">
        <f>ROUND(Source!AQ185,O195)</f>
        <v>0</v>
      </c>
      <c r="G195" s="4" t="s">
        <v>55</v>
      </c>
      <c r="H195" s="4" t="s">
        <v>56</v>
      </c>
      <c r="I195" s="4"/>
      <c r="J195" s="4"/>
      <c r="K195" s="4">
        <v>223</v>
      </c>
      <c r="L195" s="4">
        <v>9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229</v>
      </c>
      <c r="F196" s="4">
        <f>ROUND(Source!AZ185,O196)</f>
        <v>0</v>
      </c>
      <c r="G196" s="4" t="s">
        <v>57</v>
      </c>
      <c r="H196" s="4" t="s">
        <v>58</v>
      </c>
      <c r="I196" s="4"/>
      <c r="J196" s="4"/>
      <c r="K196" s="4">
        <v>229</v>
      </c>
      <c r="L196" s="4">
        <v>10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203</v>
      </c>
      <c r="F197" s="4">
        <f>ROUND(Source!Q185,O197)</f>
        <v>5321.48</v>
      </c>
      <c r="G197" s="4" t="s">
        <v>59</v>
      </c>
      <c r="H197" s="4" t="s">
        <v>60</v>
      </c>
      <c r="I197" s="4"/>
      <c r="J197" s="4"/>
      <c r="K197" s="4">
        <v>203</v>
      </c>
      <c r="L197" s="4">
        <v>11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5321.48</v>
      </c>
      <c r="X197" s="4">
        <v>1</v>
      </c>
      <c r="Y197" s="4">
        <v>5321.48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231</v>
      </c>
      <c r="F198" s="4">
        <f>ROUND(Source!BB185,O198)</f>
        <v>0</v>
      </c>
      <c r="G198" s="4" t="s">
        <v>61</v>
      </c>
      <c r="H198" s="4" t="s">
        <v>62</v>
      </c>
      <c r="I198" s="4"/>
      <c r="J198" s="4"/>
      <c r="K198" s="4">
        <v>231</v>
      </c>
      <c r="L198" s="4">
        <v>12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204</v>
      </c>
      <c r="F199" s="4">
        <f>ROUND(Source!R185,O199)</f>
        <v>2825.68</v>
      </c>
      <c r="G199" s="4" t="s">
        <v>63</v>
      </c>
      <c r="H199" s="4" t="s">
        <v>64</v>
      </c>
      <c r="I199" s="4"/>
      <c r="J199" s="4"/>
      <c r="K199" s="4">
        <v>204</v>
      </c>
      <c r="L199" s="4">
        <v>13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2825.6800000000003</v>
      </c>
      <c r="X199" s="4">
        <v>1</v>
      </c>
      <c r="Y199" s="4">
        <v>2825.6800000000003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205</v>
      </c>
      <c r="F200" s="4">
        <f>ROUND(Source!S185,O200)</f>
        <v>145843.95000000001</v>
      </c>
      <c r="G200" s="4" t="s">
        <v>65</v>
      </c>
      <c r="H200" s="4" t="s">
        <v>66</v>
      </c>
      <c r="I200" s="4"/>
      <c r="J200" s="4"/>
      <c r="K200" s="4">
        <v>205</v>
      </c>
      <c r="L200" s="4">
        <v>14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145843.95000000001</v>
      </c>
      <c r="X200" s="4">
        <v>1</v>
      </c>
      <c r="Y200" s="4">
        <v>145843.95000000001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232</v>
      </c>
      <c r="F201" s="4">
        <f>ROUND(Source!BC185,O201)</f>
        <v>0</v>
      </c>
      <c r="G201" s="4" t="s">
        <v>67</v>
      </c>
      <c r="H201" s="4" t="s">
        <v>68</v>
      </c>
      <c r="I201" s="4"/>
      <c r="J201" s="4"/>
      <c r="K201" s="4">
        <v>232</v>
      </c>
      <c r="L201" s="4">
        <v>15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214</v>
      </c>
      <c r="F202" s="4">
        <f>ROUND(Source!AS185,O202)</f>
        <v>1606416.66</v>
      </c>
      <c r="G202" s="4" t="s">
        <v>69</v>
      </c>
      <c r="H202" s="4" t="s">
        <v>70</v>
      </c>
      <c r="I202" s="4"/>
      <c r="J202" s="4"/>
      <c r="K202" s="4">
        <v>214</v>
      </c>
      <c r="L202" s="4">
        <v>16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215</v>
      </c>
      <c r="F203" s="4">
        <f>ROUND(Source!AT185,O203)</f>
        <v>81049.490000000005</v>
      </c>
      <c r="G203" s="4" t="s">
        <v>71</v>
      </c>
      <c r="H203" s="4" t="s">
        <v>72</v>
      </c>
      <c r="I203" s="4"/>
      <c r="J203" s="4"/>
      <c r="K203" s="4">
        <v>215</v>
      </c>
      <c r="L203" s="4">
        <v>17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81049.490000000005</v>
      </c>
      <c r="X203" s="4">
        <v>1</v>
      </c>
      <c r="Y203" s="4">
        <v>81049.490000000005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217</v>
      </c>
      <c r="F204" s="4">
        <f>ROUND(Source!AU185,O204)</f>
        <v>249443.67</v>
      </c>
      <c r="G204" s="4" t="s">
        <v>73</v>
      </c>
      <c r="H204" s="4" t="s">
        <v>74</v>
      </c>
      <c r="I204" s="4"/>
      <c r="J204" s="4"/>
      <c r="K204" s="4">
        <v>217</v>
      </c>
      <c r="L204" s="4">
        <v>18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249443.67</v>
      </c>
      <c r="X204" s="4">
        <v>1</v>
      </c>
      <c r="Y204" s="4">
        <v>249443.67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230</v>
      </c>
      <c r="F205" s="4">
        <f>ROUND(Source!BA185,O205)</f>
        <v>0</v>
      </c>
      <c r="G205" s="4" t="s">
        <v>75</v>
      </c>
      <c r="H205" s="4" t="s">
        <v>76</v>
      </c>
      <c r="I205" s="4"/>
      <c r="J205" s="4"/>
      <c r="K205" s="4">
        <v>230</v>
      </c>
      <c r="L205" s="4">
        <v>19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206</v>
      </c>
      <c r="F206" s="4">
        <f>ROUND(Source!T185,O206)</f>
        <v>0</v>
      </c>
      <c r="G206" s="4" t="s">
        <v>77</v>
      </c>
      <c r="H206" s="4" t="s">
        <v>78</v>
      </c>
      <c r="I206" s="4"/>
      <c r="J206" s="4"/>
      <c r="K206" s="4">
        <v>206</v>
      </c>
      <c r="L206" s="4">
        <v>20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207</v>
      </c>
      <c r="F207" s="4">
        <f>ROUND(Source!U185,O207)</f>
        <v>277.49040000000002</v>
      </c>
      <c r="G207" s="4" t="s">
        <v>79</v>
      </c>
      <c r="H207" s="4" t="s">
        <v>80</v>
      </c>
      <c r="I207" s="4"/>
      <c r="J207" s="4"/>
      <c r="K207" s="4">
        <v>207</v>
      </c>
      <c r="L207" s="4">
        <v>21</v>
      </c>
      <c r="M207" s="4">
        <v>3</v>
      </c>
      <c r="N207" s="4" t="s">
        <v>3</v>
      </c>
      <c r="O207" s="4">
        <v>7</v>
      </c>
      <c r="P207" s="4"/>
      <c r="Q207" s="4"/>
      <c r="R207" s="4"/>
      <c r="S207" s="4"/>
      <c r="T207" s="4"/>
      <c r="U207" s="4"/>
      <c r="V207" s="4"/>
      <c r="W207" s="4">
        <v>277.49040000000002</v>
      </c>
      <c r="X207" s="4">
        <v>1</v>
      </c>
      <c r="Y207" s="4">
        <v>277.49040000000002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208</v>
      </c>
      <c r="F208" s="4">
        <f>ROUND(Source!V185,O208)</f>
        <v>5.5949920000000004</v>
      </c>
      <c r="G208" s="4" t="s">
        <v>81</v>
      </c>
      <c r="H208" s="4" t="s">
        <v>82</v>
      </c>
      <c r="I208" s="4"/>
      <c r="J208" s="4"/>
      <c r="K208" s="4">
        <v>208</v>
      </c>
      <c r="L208" s="4">
        <v>22</v>
      </c>
      <c r="M208" s="4">
        <v>3</v>
      </c>
      <c r="N208" s="4" t="s">
        <v>3</v>
      </c>
      <c r="O208" s="4">
        <v>7</v>
      </c>
      <c r="P208" s="4"/>
      <c r="Q208" s="4"/>
      <c r="R208" s="4"/>
      <c r="S208" s="4"/>
      <c r="T208" s="4"/>
      <c r="U208" s="4"/>
      <c r="V208" s="4"/>
      <c r="W208" s="4">
        <v>5.5949920000000004</v>
      </c>
      <c r="X208" s="4">
        <v>1</v>
      </c>
      <c r="Y208" s="4">
        <v>5.5949920000000004</v>
      </c>
      <c r="Z208" s="4"/>
      <c r="AA208" s="4"/>
      <c r="AB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209</v>
      </c>
      <c r="F209" s="4">
        <f>ROUND(Source!W185,O209)</f>
        <v>0</v>
      </c>
      <c r="G209" s="4" t="s">
        <v>83</v>
      </c>
      <c r="H209" s="4" t="s">
        <v>84</v>
      </c>
      <c r="I209" s="4"/>
      <c r="J209" s="4"/>
      <c r="K209" s="4">
        <v>209</v>
      </c>
      <c r="L209" s="4">
        <v>23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233</v>
      </c>
      <c r="F210" s="4">
        <f>ROUND(Source!BD185,O210)</f>
        <v>0</v>
      </c>
      <c r="G210" s="4" t="s">
        <v>85</v>
      </c>
      <c r="H210" s="4" t="s">
        <v>86</v>
      </c>
      <c r="I210" s="4"/>
      <c r="J210" s="4"/>
      <c r="K210" s="4">
        <v>233</v>
      </c>
      <c r="L210" s="4">
        <v>24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210</v>
      </c>
      <c r="F211" s="4">
        <f>ROUND(Source!X185,O211)</f>
        <v>116889.53</v>
      </c>
      <c r="G211" s="4" t="s">
        <v>87</v>
      </c>
      <c r="H211" s="4" t="s">
        <v>88</v>
      </c>
      <c r="I211" s="4"/>
      <c r="J211" s="4"/>
      <c r="K211" s="4">
        <v>210</v>
      </c>
      <c r="L211" s="4">
        <v>25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116889.53</v>
      </c>
      <c r="X211" s="4">
        <v>1</v>
      </c>
      <c r="Y211" s="4">
        <v>116889.53</v>
      </c>
      <c r="Z211" s="4"/>
      <c r="AA211" s="4"/>
      <c r="AB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211</v>
      </c>
      <c r="F212" s="4">
        <f>ROUND(Source!Y185,O212)</f>
        <v>58004.12</v>
      </c>
      <c r="G212" s="4" t="s">
        <v>89</v>
      </c>
      <c r="H212" s="4" t="s">
        <v>90</v>
      </c>
      <c r="I212" s="4"/>
      <c r="J212" s="4"/>
      <c r="K212" s="4">
        <v>211</v>
      </c>
      <c r="L212" s="4">
        <v>26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58004.12</v>
      </c>
      <c r="X212" s="4">
        <v>1</v>
      </c>
      <c r="Y212" s="4">
        <v>58004.12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224</v>
      </c>
      <c r="F213" s="4">
        <f>ROUND(Source!AR185,O213)</f>
        <v>1936909.82</v>
      </c>
      <c r="G213" s="4" t="s">
        <v>91</v>
      </c>
      <c r="H213" s="4" t="s">
        <v>92</v>
      </c>
      <c r="I213" s="4"/>
      <c r="J213" s="4"/>
      <c r="K213" s="4">
        <v>224</v>
      </c>
      <c r="L213" s="4">
        <v>27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1936909.82</v>
      </c>
      <c r="X213" s="4">
        <v>1</v>
      </c>
      <c r="Y213" s="4">
        <v>1936909.82</v>
      </c>
      <c r="Z213" s="4"/>
      <c r="AA213" s="4"/>
      <c r="AB213" s="4"/>
    </row>
    <row r="214" spans="1:206" x14ac:dyDescent="0.2">
      <c r="A214" s="4">
        <v>50</v>
      </c>
      <c r="B214" s="4">
        <v>1</v>
      </c>
      <c r="C214" s="4">
        <v>0</v>
      </c>
      <c r="D214" s="4">
        <v>2</v>
      </c>
      <c r="E214" s="4">
        <v>0</v>
      </c>
      <c r="F214" s="4">
        <f>ROUND(F59+F96+F133+F183,O214)</f>
        <v>1936909.82</v>
      </c>
      <c r="G214" s="4" t="s">
        <v>180</v>
      </c>
      <c r="H214" s="4" t="s">
        <v>181</v>
      </c>
      <c r="I214" s="4"/>
      <c r="J214" s="4"/>
      <c r="K214" s="4">
        <v>212</v>
      </c>
      <c r="L214" s="4">
        <v>28</v>
      </c>
      <c r="M214" s="4">
        <v>0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1936909.82</v>
      </c>
      <c r="X214" s="4">
        <v>1</v>
      </c>
      <c r="Y214" s="4">
        <v>1936909.82</v>
      </c>
      <c r="Z214" s="4"/>
      <c r="AA214" s="4"/>
      <c r="AB214" s="4"/>
    </row>
    <row r="215" spans="1:206" x14ac:dyDescent="0.2">
      <c r="A215" s="4">
        <v>50</v>
      </c>
      <c r="B215" s="4">
        <v>1</v>
      </c>
      <c r="C215" s="4">
        <v>0</v>
      </c>
      <c r="D215" s="4">
        <v>2</v>
      </c>
      <c r="E215" s="4">
        <v>0</v>
      </c>
      <c r="F215" s="4">
        <f>ROUND(0.2*F214,O215)</f>
        <v>387381.96</v>
      </c>
      <c r="G215" s="4" t="s">
        <v>182</v>
      </c>
      <c r="H215" s="4" t="s">
        <v>183</v>
      </c>
      <c r="I215" s="4"/>
      <c r="J215" s="4"/>
      <c r="K215" s="4">
        <v>212</v>
      </c>
      <c r="L215" s="4">
        <v>29</v>
      </c>
      <c r="M215" s="4">
        <v>0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387381.96</v>
      </c>
      <c r="X215" s="4">
        <v>1</v>
      </c>
      <c r="Y215" s="4">
        <v>387381.96</v>
      </c>
      <c r="Z215" s="4"/>
      <c r="AA215" s="4"/>
      <c r="AB215" s="4"/>
    </row>
    <row r="216" spans="1:206" x14ac:dyDescent="0.2">
      <c r="A216" s="4">
        <v>50</v>
      </c>
      <c r="B216" s="4">
        <v>1</v>
      </c>
      <c r="C216" s="4">
        <v>0</v>
      </c>
      <c r="D216" s="4">
        <v>2</v>
      </c>
      <c r="E216" s="4">
        <v>0</v>
      </c>
      <c r="F216" s="4">
        <f>ROUND(F215+F214,O216)</f>
        <v>2324291.7799999998</v>
      </c>
      <c r="G216" s="4" t="s">
        <v>184</v>
      </c>
      <c r="H216" s="4" t="s">
        <v>185</v>
      </c>
      <c r="I216" s="4"/>
      <c r="J216" s="4"/>
      <c r="K216" s="4">
        <v>212</v>
      </c>
      <c r="L216" s="4">
        <v>30</v>
      </c>
      <c r="M216" s="4">
        <v>0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2324291.7799999998</v>
      </c>
      <c r="X216" s="4">
        <v>1</v>
      </c>
      <c r="Y216" s="4">
        <v>2324291.7799999998</v>
      </c>
      <c r="Z216" s="4"/>
      <c r="AA216" s="4"/>
      <c r="AB216" s="4"/>
    </row>
    <row r="218" spans="1:206" x14ac:dyDescent="0.2">
      <c r="A218" s="2">
        <v>51</v>
      </c>
      <c r="B218" s="2">
        <f>B12</f>
        <v>276</v>
      </c>
      <c r="C218" s="2">
        <f>A12</f>
        <v>1</v>
      </c>
      <c r="D218" s="2">
        <f>ROW(A12)</f>
        <v>12</v>
      </c>
      <c r="E218" s="2"/>
      <c r="F218" s="2" t="str">
        <f>IF(F12&lt;&gt;"",F12,"")</f>
        <v>Новый объект</v>
      </c>
      <c r="G218" s="2" t="str">
        <f>IF(G12&lt;&gt;"",G12,"")</f>
        <v>ТП</v>
      </c>
      <c r="H218" s="2">
        <v>0</v>
      </c>
      <c r="I218" s="2"/>
      <c r="J218" s="2"/>
      <c r="K218" s="2"/>
      <c r="L218" s="2"/>
      <c r="M218" s="2"/>
      <c r="N218" s="2"/>
      <c r="O218" s="2">
        <f t="shared" ref="O218:T218" si="78">ROUND(O185,2)</f>
        <v>1762016.17</v>
      </c>
      <c r="P218" s="2">
        <f t="shared" si="78"/>
        <v>1608025.06</v>
      </c>
      <c r="Q218" s="2">
        <f t="shared" si="78"/>
        <v>5321.48</v>
      </c>
      <c r="R218" s="2">
        <f t="shared" si="78"/>
        <v>2825.68</v>
      </c>
      <c r="S218" s="2">
        <f t="shared" si="78"/>
        <v>145843.95000000001</v>
      </c>
      <c r="T218" s="2">
        <f t="shared" si="78"/>
        <v>0</v>
      </c>
      <c r="U218" s="2">
        <f>U185</f>
        <v>277.49039999999997</v>
      </c>
      <c r="V218" s="2">
        <f>V185</f>
        <v>5.5949919999999995</v>
      </c>
      <c r="W218" s="2">
        <f>ROUND(W185,2)</f>
        <v>0</v>
      </c>
      <c r="X218" s="2">
        <f>ROUND(X185,2)</f>
        <v>116889.53</v>
      </c>
      <c r="Y218" s="2">
        <f>ROUND(Y185,2)</f>
        <v>58004.12</v>
      </c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>
        <f t="shared" ref="AO218:BD218" si="79">ROUND(AO185,2)</f>
        <v>0</v>
      </c>
      <c r="AP218" s="2">
        <f t="shared" si="79"/>
        <v>0</v>
      </c>
      <c r="AQ218" s="2">
        <f t="shared" si="79"/>
        <v>0</v>
      </c>
      <c r="AR218" s="2">
        <f t="shared" si="79"/>
        <v>1936909.82</v>
      </c>
      <c r="AS218" s="2">
        <f t="shared" si="79"/>
        <v>1606416.66</v>
      </c>
      <c r="AT218" s="2">
        <f t="shared" si="79"/>
        <v>81049.490000000005</v>
      </c>
      <c r="AU218" s="2">
        <f t="shared" si="79"/>
        <v>249443.67</v>
      </c>
      <c r="AV218" s="2">
        <f t="shared" si="79"/>
        <v>1608025.06</v>
      </c>
      <c r="AW218" s="2">
        <f t="shared" si="79"/>
        <v>1608025.06</v>
      </c>
      <c r="AX218" s="2">
        <f t="shared" si="79"/>
        <v>0</v>
      </c>
      <c r="AY218" s="2">
        <f t="shared" si="79"/>
        <v>1608025.06</v>
      </c>
      <c r="AZ218" s="2">
        <f t="shared" si="79"/>
        <v>0</v>
      </c>
      <c r="BA218" s="2">
        <f t="shared" si="79"/>
        <v>0</v>
      </c>
      <c r="BB218" s="2">
        <f t="shared" si="79"/>
        <v>0</v>
      </c>
      <c r="BC218" s="2">
        <f t="shared" si="79"/>
        <v>0</v>
      </c>
      <c r="BD218" s="2">
        <f t="shared" si="79"/>
        <v>0</v>
      </c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>
        <v>0</v>
      </c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201</v>
      </c>
      <c r="F220" s="4">
        <f>ROUND(Source!O218,O220)</f>
        <v>1762016.17</v>
      </c>
      <c r="G220" s="4" t="s">
        <v>39</v>
      </c>
      <c r="H220" s="4" t="s">
        <v>40</v>
      </c>
      <c r="I220" s="4"/>
      <c r="J220" s="4"/>
      <c r="K220" s="4">
        <v>201</v>
      </c>
      <c r="L220" s="4">
        <v>1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1762016.17</v>
      </c>
      <c r="X220" s="4">
        <v>1</v>
      </c>
      <c r="Y220" s="4">
        <v>1762016.17</v>
      </c>
      <c r="Z220" s="4"/>
      <c r="AA220" s="4"/>
      <c r="AB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202</v>
      </c>
      <c r="F221" s="4">
        <f>ROUND(Source!P218,O221)</f>
        <v>1608025.06</v>
      </c>
      <c r="G221" s="4" t="s">
        <v>41</v>
      </c>
      <c r="H221" s="4" t="s">
        <v>42</v>
      </c>
      <c r="I221" s="4"/>
      <c r="J221" s="4"/>
      <c r="K221" s="4">
        <v>202</v>
      </c>
      <c r="L221" s="4">
        <v>2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1608025.06</v>
      </c>
      <c r="X221" s="4">
        <v>1</v>
      </c>
      <c r="Y221" s="4">
        <v>1608025.06</v>
      </c>
      <c r="Z221" s="4"/>
      <c r="AA221" s="4"/>
      <c r="AB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222</v>
      </c>
      <c r="F222" s="4">
        <f>ROUND(Source!AO218,O222)</f>
        <v>0</v>
      </c>
      <c r="G222" s="4" t="s">
        <v>43</v>
      </c>
      <c r="H222" s="4" t="s">
        <v>44</v>
      </c>
      <c r="I222" s="4"/>
      <c r="J222" s="4"/>
      <c r="K222" s="4">
        <v>222</v>
      </c>
      <c r="L222" s="4">
        <v>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225</v>
      </c>
      <c r="F223" s="4">
        <f>ROUND(Source!AV218,O223)</f>
        <v>1608025.06</v>
      </c>
      <c r="G223" s="4" t="s">
        <v>45</v>
      </c>
      <c r="H223" s="4" t="s">
        <v>46</v>
      </c>
      <c r="I223" s="4"/>
      <c r="J223" s="4"/>
      <c r="K223" s="4">
        <v>225</v>
      </c>
      <c r="L223" s="4">
        <v>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1608025.06</v>
      </c>
      <c r="X223" s="4">
        <v>1</v>
      </c>
      <c r="Y223" s="4">
        <v>1608025.06</v>
      </c>
      <c r="Z223" s="4"/>
      <c r="AA223" s="4"/>
      <c r="AB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226</v>
      </c>
      <c r="F224" s="4">
        <f>ROUND(Source!AW218,O224)</f>
        <v>1608025.06</v>
      </c>
      <c r="G224" s="4" t="s">
        <v>47</v>
      </c>
      <c r="H224" s="4" t="s">
        <v>48</v>
      </c>
      <c r="I224" s="4"/>
      <c r="J224" s="4"/>
      <c r="K224" s="4">
        <v>226</v>
      </c>
      <c r="L224" s="4">
        <v>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1608025.06</v>
      </c>
      <c r="X224" s="4">
        <v>1</v>
      </c>
      <c r="Y224" s="4">
        <v>1608025.06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227</v>
      </c>
      <c r="F225" s="4">
        <f>ROUND(Source!AX218,O225)</f>
        <v>0</v>
      </c>
      <c r="G225" s="4" t="s">
        <v>49</v>
      </c>
      <c r="H225" s="4" t="s">
        <v>50</v>
      </c>
      <c r="I225" s="4"/>
      <c r="J225" s="4"/>
      <c r="K225" s="4">
        <v>227</v>
      </c>
      <c r="L225" s="4">
        <v>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228</v>
      </c>
      <c r="F226" s="4">
        <f>ROUND(Source!AY218,O226)</f>
        <v>1608025.06</v>
      </c>
      <c r="G226" s="4" t="s">
        <v>51</v>
      </c>
      <c r="H226" s="4" t="s">
        <v>52</v>
      </c>
      <c r="I226" s="4"/>
      <c r="J226" s="4"/>
      <c r="K226" s="4">
        <v>228</v>
      </c>
      <c r="L226" s="4">
        <v>7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1608025.06</v>
      </c>
      <c r="X226" s="4">
        <v>1</v>
      </c>
      <c r="Y226" s="4">
        <v>1608025.06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216</v>
      </c>
      <c r="F227" s="4">
        <f>ROUND(Source!AP218,O227)</f>
        <v>0</v>
      </c>
      <c r="G227" s="4" t="s">
        <v>53</v>
      </c>
      <c r="H227" s="4" t="s">
        <v>54</v>
      </c>
      <c r="I227" s="4"/>
      <c r="J227" s="4"/>
      <c r="K227" s="4">
        <v>216</v>
      </c>
      <c r="L227" s="4">
        <v>8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223</v>
      </c>
      <c r="F228" s="4">
        <f>ROUND(Source!AQ218,O228)</f>
        <v>0</v>
      </c>
      <c r="G228" s="4" t="s">
        <v>55</v>
      </c>
      <c r="H228" s="4" t="s">
        <v>56</v>
      </c>
      <c r="I228" s="4"/>
      <c r="J228" s="4"/>
      <c r="K228" s="4">
        <v>223</v>
      </c>
      <c r="L228" s="4">
        <v>9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229</v>
      </c>
      <c r="F229" s="4">
        <f>ROUND(Source!AZ218,O229)</f>
        <v>0</v>
      </c>
      <c r="G229" s="4" t="s">
        <v>57</v>
      </c>
      <c r="H229" s="4" t="s">
        <v>58</v>
      </c>
      <c r="I229" s="4"/>
      <c r="J229" s="4"/>
      <c r="K229" s="4">
        <v>229</v>
      </c>
      <c r="L229" s="4">
        <v>10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203</v>
      </c>
      <c r="F230" s="4">
        <f>ROUND(Source!Q218,O230)</f>
        <v>5321.48</v>
      </c>
      <c r="G230" s="4" t="s">
        <v>59</v>
      </c>
      <c r="H230" s="4" t="s">
        <v>60</v>
      </c>
      <c r="I230" s="4"/>
      <c r="J230" s="4"/>
      <c r="K230" s="4">
        <v>203</v>
      </c>
      <c r="L230" s="4">
        <v>11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5321.48</v>
      </c>
      <c r="X230" s="4">
        <v>1</v>
      </c>
      <c r="Y230" s="4">
        <v>5321.48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231</v>
      </c>
      <c r="F231" s="4">
        <f>ROUND(Source!BB218,O231)</f>
        <v>0</v>
      </c>
      <c r="G231" s="4" t="s">
        <v>61</v>
      </c>
      <c r="H231" s="4" t="s">
        <v>62</v>
      </c>
      <c r="I231" s="4"/>
      <c r="J231" s="4"/>
      <c r="K231" s="4">
        <v>231</v>
      </c>
      <c r="L231" s="4">
        <v>12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204</v>
      </c>
      <c r="F232" s="4">
        <f>ROUND(Source!R218,O232)</f>
        <v>2825.68</v>
      </c>
      <c r="G232" s="4" t="s">
        <v>63</v>
      </c>
      <c r="H232" s="4" t="s">
        <v>64</v>
      </c>
      <c r="I232" s="4"/>
      <c r="J232" s="4"/>
      <c r="K232" s="4">
        <v>204</v>
      </c>
      <c r="L232" s="4">
        <v>13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2825.6800000000003</v>
      </c>
      <c r="X232" s="4">
        <v>1</v>
      </c>
      <c r="Y232" s="4">
        <v>2825.6800000000003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205</v>
      </c>
      <c r="F233" s="4">
        <f>ROUND(Source!S218,O233)</f>
        <v>145843.95000000001</v>
      </c>
      <c r="G233" s="4" t="s">
        <v>65</v>
      </c>
      <c r="H233" s="4" t="s">
        <v>66</v>
      </c>
      <c r="I233" s="4"/>
      <c r="J233" s="4"/>
      <c r="K233" s="4">
        <v>205</v>
      </c>
      <c r="L233" s="4">
        <v>14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145843.95000000001</v>
      </c>
      <c r="X233" s="4">
        <v>1</v>
      </c>
      <c r="Y233" s="4">
        <v>145843.95000000001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232</v>
      </c>
      <c r="F234" s="4">
        <f>ROUND(Source!BC218,O234)</f>
        <v>0</v>
      </c>
      <c r="G234" s="4" t="s">
        <v>67</v>
      </c>
      <c r="H234" s="4" t="s">
        <v>68</v>
      </c>
      <c r="I234" s="4"/>
      <c r="J234" s="4"/>
      <c r="K234" s="4">
        <v>232</v>
      </c>
      <c r="L234" s="4">
        <v>15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214</v>
      </c>
      <c r="F235" s="4">
        <f>ROUND(Source!AS218,O235)</f>
        <v>1606416.66</v>
      </c>
      <c r="G235" s="4" t="s">
        <v>69</v>
      </c>
      <c r="H235" s="4" t="s">
        <v>70</v>
      </c>
      <c r="I235" s="4"/>
      <c r="J235" s="4"/>
      <c r="K235" s="4">
        <v>214</v>
      </c>
      <c r="L235" s="4">
        <v>16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215</v>
      </c>
      <c r="F236" s="4">
        <f>ROUND(Source!AT218,O236)</f>
        <v>81049.490000000005</v>
      </c>
      <c r="G236" s="4" t="s">
        <v>71</v>
      </c>
      <c r="H236" s="4" t="s">
        <v>72</v>
      </c>
      <c r="I236" s="4"/>
      <c r="J236" s="4"/>
      <c r="K236" s="4">
        <v>215</v>
      </c>
      <c r="L236" s="4">
        <v>17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81049.490000000005</v>
      </c>
      <c r="X236" s="4">
        <v>1</v>
      </c>
      <c r="Y236" s="4">
        <v>81049.490000000005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217</v>
      </c>
      <c r="F237" s="4">
        <f>ROUND(Source!AU218,O237)</f>
        <v>249443.67</v>
      </c>
      <c r="G237" s="4" t="s">
        <v>73</v>
      </c>
      <c r="H237" s="4" t="s">
        <v>74</v>
      </c>
      <c r="I237" s="4"/>
      <c r="J237" s="4"/>
      <c r="K237" s="4">
        <v>217</v>
      </c>
      <c r="L237" s="4">
        <v>18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249443.67</v>
      </c>
      <c r="X237" s="4">
        <v>1</v>
      </c>
      <c r="Y237" s="4">
        <v>249443.67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230</v>
      </c>
      <c r="F238" s="4">
        <f>ROUND(Source!BA218,O238)</f>
        <v>0</v>
      </c>
      <c r="G238" s="4" t="s">
        <v>75</v>
      </c>
      <c r="H238" s="4" t="s">
        <v>76</v>
      </c>
      <c r="I238" s="4"/>
      <c r="J238" s="4"/>
      <c r="K238" s="4">
        <v>230</v>
      </c>
      <c r="L238" s="4">
        <v>19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206</v>
      </c>
      <c r="F239" s="4">
        <f>ROUND(Source!T218,O239)</f>
        <v>0</v>
      </c>
      <c r="G239" s="4" t="s">
        <v>77</v>
      </c>
      <c r="H239" s="4" t="s">
        <v>78</v>
      </c>
      <c r="I239" s="4"/>
      <c r="J239" s="4"/>
      <c r="K239" s="4">
        <v>206</v>
      </c>
      <c r="L239" s="4">
        <v>20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207</v>
      </c>
      <c r="F240" s="4">
        <f>ROUND(Source!U218,O240)</f>
        <v>277.49040000000002</v>
      </c>
      <c r="G240" s="4" t="s">
        <v>79</v>
      </c>
      <c r="H240" s="4" t="s">
        <v>80</v>
      </c>
      <c r="I240" s="4"/>
      <c r="J240" s="4"/>
      <c r="K240" s="4">
        <v>207</v>
      </c>
      <c r="L240" s="4">
        <v>21</v>
      </c>
      <c r="M240" s="4">
        <v>3</v>
      </c>
      <c r="N240" s="4" t="s">
        <v>3</v>
      </c>
      <c r="O240" s="4">
        <v>7</v>
      </c>
      <c r="P240" s="4"/>
      <c r="Q240" s="4"/>
      <c r="R240" s="4"/>
      <c r="S240" s="4"/>
      <c r="T240" s="4"/>
      <c r="U240" s="4"/>
      <c r="V240" s="4"/>
      <c r="W240" s="4">
        <v>277.49040000000002</v>
      </c>
      <c r="X240" s="4">
        <v>1</v>
      </c>
      <c r="Y240" s="4">
        <v>277.49040000000002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208</v>
      </c>
      <c r="F241" s="4">
        <f>ROUND(Source!V218,O241)</f>
        <v>5.5949920000000004</v>
      </c>
      <c r="G241" s="4" t="s">
        <v>81</v>
      </c>
      <c r="H241" s="4" t="s">
        <v>82</v>
      </c>
      <c r="I241" s="4"/>
      <c r="J241" s="4"/>
      <c r="K241" s="4">
        <v>208</v>
      </c>
      <c r="L241" s="4">
        <v>22</v>
      </c>
      <c r="M241" s="4">
        <v>3</v>
      </c>
      <c r="N241" s="4" t="s">
        <v>3</v>
      </c>
      <c r="O241" s="4">
        <v>7</v>
      </c>
      <c r="P241" s="4"/>
      <c r="Q241" s="4"/>
      <c r="R241" s="4"/>
      <c r="S241" s="4"/>
      <c r="T241" s="4"/>
      <c r="U241" s="4"/>
      <c r="V241" s="4"/>
      <c r="W241" s="4">
        <v>5.5949920000000004</v>
      </c>
      <c r="X241" s="4">
        <v>1</v>
      </c>
      <c r="Y241" s="4">
        <v>5.5949920000000004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209</v>
      </c>
      <c r="F242" s="4">
        <f>ROUND(Source!W218,O242)</f>
        <v>0</v>
      </c>
      <c r="G242" s="4" t="s">
        <v>83</v>
      </c>
      <c r="H242" s="4" t="s">
        <v>84</v>
      </c>
      <c r="I242" s="4"/>
      <c r="J242" s="4"/>
      <c r="K242" s="4">
        <v>209</v>
      </c>
      <c r="L242" s="4">
        <v>23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233</v>
      </c>
      <c r="F243" s="4">
        <f>ROUND(Source!BD218,O243)</f>
        <v>0</v>
      </c>
      <c r="G243" s="4" t="s">
        <v>85</v>
      </c>
      <c r="H243" s="4" t="s">
        <v>86</v>
      </c>
      <c r="I243" s="4"/>
      <c r="J243" s="4"/>
      <c r="K243" s="4">
        <v>233</v>
      </c>
      <c r="L243" s="4">
        <v>24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210</v>
      </c>
      <c r="F244" s="4">
        <f>ROUND(Source!X218,O244)</f>
        <v>116889.53</v>
      </c>
      <c r="G244" s="4" t="s">
        <v>87</v>
      </c>
      <c r="H244" s="4" t="s">
        <v>88</v>
      </c>
      <c r="I244" s="4"/>
      <c r="J244" s="4"/>
      <c r="K244" s="4">
        <v>210</v>
      </c>
      <c r="L244" s="4">
        <v>25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116889.53</v>
      </c>
      <c r="X244" s="4">
        <v>1</v>
      </c>
      <c r="Y244" s="4">
        <v>116889.53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211</v>
      </c>
      <c r="F245" s="4">
        <f>ROUND(Source!Y218,O245)</f>
        <v>58004.12</v>
      </c>
      <c r="G245" s="4" t="s">
        <v>89</v>
      </c>
      <c r="H245" s="4" t="s">
        <v>90</v>
      </c>
      <c r="I245" s="4"/>
      <c r="J245" s="4"/>
      <c r="K245" s="4">
        <v>211</v>
      </c>
      <c r="L245" s="4">
        <v>26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58004.12</v>
      </c>
      <c r="X245" s="4">
        <v>1</v>
      </c>
      <c r="Y245" s="4">
        <v>58004.12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224</v>
      </c>
      <c r="F246" s="4">
        <f>ROUND(Source!AR218,O246)</f>
        <v>1936909.82</v>
      </c>
      <c r="G246" s="4" t="s">
        <v>91</v>
      </c>
      <c r="H246" s="4" t="s">
        <v>92</v>
      </c>
      <c r="I246" s="4"/>
      <c r="J246" s="4"/>
      <c r="K246" s="4">
        <v>224</v>
      </c>
      <c r="L246" s="4">
        <v>27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1936909.82</v>
      </c>
      <c r="X246" s="4">
        <v>1</v>
      </c>
      <c r="Y246" s="4">
        <v>1936909.82</v>
      </c>
      <c r="Z246" s="4"/>
      <c r="AA246" s="4"/>
      <c r="AB246" s="4"/>
    </row>
    <row r="248" spans="1:28" x14ac:dyDescent="0.2">
      <c r="A248">
        <v>71</v>
      </c>
      <c r="B248">
        <v>1</v>
      </c>
      <c r="D248">
        <v>200001</v>
      </c>
      <c r="E248">
        <v>56151601</v>
      </c>
      <c r="F248" t="s">
        <v>186</v>
      </c>
      <c r="G248" t="s">
        <v>187</v>
      </c>
      <c r="H248">
        <v>80</v>
      </c>
      <c r="I248">
        <v>20</v>
      </c>
    </row>
    <row r="251" spans="1:28" x14ac:dyDescent="0.2">
      <c r="A251">
        <v>70</v>
      </c>
      <c r="B251">
        <v>1</v>
      </c>
      <c r="D251">
        <v>1</v>
      </c>
      <c r="E251" t="s">
        <v>188</v>
      </c>
      <c r="F251" t="s">
        <v>189</v>
      </c>
      <c r="G251">
        <v>1</v>
      </c>
      <c r="H251">
        <v>0</v>
      </c>
      <c r="I251" t="s">
        <v>3</v>
      </c>
      <c r="J251">
        <v>1</v>
      </c>
      <c r="K251">
        <v>0</v>
      </c>
      <c r="L251" t="s">
        <v>3</v>
      </c>
      <c r="M251" t="s">
        <v>3</v>
      </c>
      <c r="N251">
        <v>0</v>
      </c>
      <c r="P251" t="s">
        <v>190</v>
      </c>
    </row>
    <row r="252" spans="1:28" x14ac:dyDescent="0.2">
      <c r="A252">
        <v>70</v>
      </c>
      <c r="B252">
        <v>1</v>
      </c>
      <c r="D252">
        <v>2</v>
      </c>
      <c r="E252" t="s">
        <v>191</v>
      </c>
      <c r="F252" t="s">
        <v>192</v>
      </c>
      <c r="G252">
        <v>0</v>
      </c>
      <c r="H252">
        <v>0</v>
      </c>
      <c r="I252" t="s">
        <v>3</v>
      </c>
      <c r="J252">
        <v>1</v>
      </c>
      <c r="K252">
        <v>0</v>
      </c>
      <c r="L252" t="s">
        <v>3</v>
      </c>
      <c r="M252" t="s">
        <v>3</v>
      </c>
      <c r="N252">
        <v>0</v>
      </c>
      <c r="P252" t="s">
        <v>193</v>
      </c>
    </row>
    <row r="253" spans="1:28" x14ac:dyDescent="0.2">
      <c r="A253">
        <v>70</v>
      </c>
      <c r="B253">
        <v>1</v>
      </c>
      <c r="D253">
        <v>3</v>
      </c>
      <c r="E253" t="s">
        <v>194</v>
      </c>
      <c r="F253" t="s">
        <v>195</v>
      </c>
      <c r="G253">
        <v>0</v>
      </c>
      <c r="H253">
        <v>0</v>
      </c>
      <c r="I253" t="s">
        <v>3</v>
      </c>
      <c r="J253">
        <v>1</v>
      </c>
      <c r="K253">
        <v>0</v>
      </c>
      <c r="L253" t="s">
        <v>3</v>
      </c>
      <c r="M253" t="s">
        <v>3</v>
      </c>
      <c r="N253">
        <v>0</v>
      </c>
      <c r="P253" t="s">
        <v>196</v>
      </c>
    </row>
    <row r="254" spans="1:28" x14ac:dyDescent="0.2">
      <c r="A254">
        <v>70</v>
      </c>
      <c r="B254">
        <v>1</v>
      </c>
      <c r="D254">
        <v>4</v>
      </c>
      <c r="E254" t="s">
        <v>197</v>
      </c>
      <c r="F254" t="s">
        <v>198</v>
      </c>
      <c r="G254">
        <v>1</v>
      </c>
      <c r="H254">
        <v>0</v>
      </c>
      <c r="I254" t="s">
        <v>3</v>
      </c>
      <c r="J254">
        <v>2</v>
      </c>
      <c r="K254">
        <v>0</v>
      </c>
      <c r="L254" t="s">
        <v>3</v>
      </c>
      <c r="M254" t="s">
        <v>3</v>
      </c>
      <c r="N254">
        <v>0</v>
      </c>
      <c r="P254" t="s">
        <v>3</v>
      </c>
    </row>
    <row r="255" spans="1:28" x14ac:dyDescent="0.2">
      <c r="A255">
        <v>70</v>
      </c>
      <c r="B255">
        <v>1</v>
      </c>
      <c r="D255">
        <v>5</v>
      </c>
      <c r="E255" t="s">
        <v>199</v>
      </c>
      <c r="F255" t="s">
        <v>200</v>
      </c>
      <c r="G255">
        <v>0</v>
      </c>
      <c r="H255">
        <v>0</v>
      </c>
      <c r="I255" t="s">
        <v>3</v>
      </c>
      <c r="J255">
        <v>2</v>
      </c>
      <c r="K255">
        <v>0</v>
      </c>
      <c r="L255" t="s">
        <v>3</v>
      </c>
      <c r="M255" t="s">
        <v>3</v>
      </c>
      <c r="N255">
        <v>0</v>
      </c>
      <c r="P255" t="s">
        <v>3</v>
      </c>
    </row>
    <row r="256" spans="1:28" x14ac:dyDescent="0.2">
      <c r="A256">
        <v>70</v>
      </c>
      <c r="B256">
        <v>1</v>
      </c>
      <c r="D256">
        <v>6</v>
      </c>
      <c r="E256" t="s">
        <v>201</v>
      </c>
      <c r="F256" t="s">
        <v>202</v>
      </c>
      <c r="G256">
        <v>0</v>
      </c>
      <c r="H256">
        <v>0</v>
      </c>
      <c r="I256" t="s">
        <v>3</v>
      </c>
      <c r="J256">
        <v>2</v>
      </c>
      <c r="K256">
        <v>0</v>
      </c>
      <c r="L256" t="s">
        <v>3</v>
      </c>
      <c r="M256" t="s">
        <v>3</v>
      </c>
      <c r="N256">
        <v>0</v>
      </c>
      <c r="P256" t="s">
        <v>3</v>
      </c>
    </row>
    <row r="257" spans="1:16" x14ac:dyDescent="0.2">
      <c r="A257">
        <v>70</v>
      </c>
      <c r="B257">
        <v>1</v>
      </c>
      <c r="D257">
        <v>7</v>
      </c>
      <c r="E257" t="s">
        <v>203</v>
      </c>
      <c r="F257" t="s">
        <v>204</v>
      </c>
      <c r="G257">
        <v>0</v>
      </c>
      <c r="H257">
        <v>0</v>
      </c>
      <c r="I257" t="s">
        <v>205</v>
      </c>
      <c r="J257">
        <v>0</v>
      </c>
      <c r="K257">
        <v>0</v>
      </c>
      <c r="L257" t="s">
        <v>3</v>
      </c>
      <c r="M257" t="s">
        <v>3</v>
      </c>
      <c r="N257">
        <v>0</v>
      </c>
      <c r="P257" t="s">
        <v>206</v>
      </c>
    </row>
    <row r="258" spans="1:16" x14ac:dyDescent="0.2">
      <c r="A258">
        <v>70</v>
      </c>
      <c r="B258">
        <v>1</v>
      </c>
      <c r="D258">
        <v>8</v>
      </c>
      <c r="E258" t="s">
        <v>207</v>
      </c>
      <c r="F258" t="s">
        <v>208</v>
      </c>
      <c r="G258">
        <v>1</v>
      </c>
      <c r="H258">
        <v>0</v>
      </c>
      <c r="I258" t="s">
        <v>3</v>
      </c>
      <c r="J258">
        <v>5</v>
      </c>
      <c r="K258">
        <v>0</v>
      </c>
      <c r="L258" t="s">
        <v>3</v>
      </c>
      <c r="M258" t="s">
        <v>3</v>
      </c>
      <c r="N258">
        <v>0</v>
      </c>
      <c r="P258" t="s">
        <v>3</v>
      </c>
    </row>
    <row r="259" spans="1:16" x14ac:dyDescent="0.2">
      <c r="A259">
        <v>70</v>
      </c>
      <c r="B259">
        <v>1</v>
      </c>
      <c r="D259">
        <v>9</v>
      </c>
      <c r="E259" t="s">
        <v>209</v>
      </c>
      <c r="F259" t="s">
        <v>210</v>
      </c>
      <c r="G259">
        <v>0</v>
      </c>
      <c r="H259">
        <v>0</v>
      </c>
      <c r="I259" t="s">
        <v>3</v>
      </c>
      <c r="J259">
        <v>5</v>
      </c>
      <c r="K259">
        <v>0</v>
      </c>
      <c r="L259" t="s">
        <v>3</v>
      </c>
      <c r="M259" t="s">
        <v>3</v>
      </c>
      <c r="N259">
        <v>0</v>
      </c>
      <c r="P259" t="s">
        <v>211</v>
      </c>
    </row>
    <row r="260" spans="1:16" x14ac:dyDescent="0.2">
      <c r="A260">
        <v>70</v>
      </c>
      <c r="B260">
        <v>1</v>
      </c>
      <c r="D260">
        <v>10</v>
      </c>
      <c r="E260" t="s">
        <v>212</v>
      </c>
      <c r="F260" t="s">
        <v>213</v>
      </c>
      <c r="G260">
        <v>0</v>
      </c>
      <c r="H260">
        <v>0</v>
      </c>
      <c r="I260" t="s">
        <v>214</v>
      </c>
      <c r="J260">
        <v>5</v>
      </c>
      <c r="K260">
        <v>0</v>
      </c>
      <c r="L260" t="s">
        <v>3</v>
      </c>
      <c r="M260" t="s">
        <v>3</v>
      </c>
      <c r="N260">
        <v>0</v>
      </c>
      <c r="P260" t="s">
        <v>215</v>
      </c>
    </row>
    <row r="261" spans="1:16" x14ac:dyDescent="0.2">
      <c r="A261">
        <v>70</v>
      </c>
      <c r="B261">
        <v>1</v>
      </c>
      <c r="D261">
        <v>11</v>
      </c>
      <c r="E261" t="s">
        <v>216</v>
      </c>
      <c r="F261" t="s">
        <v>217</v>
      </c>
      <c r="G261">
        <v>0</v>
      </c>
      <c r="H261">
        <v>0</v>
      </c>
      <c r="I261" t="s">
        <v>218</v>
      </c>
      <c r="J261">
        <v>0</v>
      </c>
      <c r="K261">
        <v>0</v>
      </c>
      <c r="L261" t="s">
        <v>3</v>
      </c>
      <c r="M261" t="s">
        <v>3</v>
      </c>
      <c r="N261">
        <v>0</v>
      </c>
      <c r="P261" t="s">
        <v>219</v>
      </c>
    </row>
    <row r="262" spans="1:16" x14ac:dyDescent="0.2">
      <c r="A262">
        <v>70</v>
      </c>
      <c r="B262">
        <v>1</v>
      </c>
      <c r="D262">
        <v>12</v>
      </c>
      <c r="E262" t="s">
        <v>220</v>
      </c>
      <c r="F262" t="s">
        <v>221</v>
      </c>
      <c r="G262">
        <v>0</v>
      </c>
      <c r="H262">
        <v>0</v>
      </c>
      <c r="I262" t="s">
        <v>222</v>
      </c>
      <c r="J262">
        <v>0</v>
      </c>
      <c r="K262">
        <v>0</v>
      </c>
      <c r="L262" t="s">
        <v>3</v>
      </c>
      <c r="M262" t="s">
        <v>3</v>
      </c>
      <c r="N262">
        <v>0</v>
      </c>
      <c r="P262" t="s">
        <v>223</v>
      </c>
    </row>
    <row r="263" spans="1:16" x14ac:dyDescent="0.2">
      <c r="A263">
        <v>70</v>
      </c>
      <c r="B263">
        <v>1</v>
      </c>
      <c r="D263">
        <v>13</v>
      </c>
      <c r="E263" t="s">
        <v>224</v>
      </c>
      <c r="F263" t="s">
        <v>225</v>
      </c>
      <c r="G263">
        <v>0</v>
      </c>
      <c r="H263">
        <v>0</v>
      </c>
      <c r="I263" t="s">
        <v>226</v>
      </c>
      <c r="J263">
        <v>0</v>
      </c>
      <c r="K263">
        <v>0</v>
      </c>
      <c r="L263" t="s">
        <v>3</v>
      </c>
      <c r="M263" t="s">
        <v>3</v>
      </c>
      <c r="N263">
        <v>0</v>
      </c>
      <c r="P263" t="s">
        <v>227</v>
      </c>
    </row>
    <row r="264" spans="1:16" x14ac:dyDescent="0.2">
      <c r="A264">
        <v>70</v>
      </c>
      <c r="B264">
        <v>1</v>
      </c>
      <c r="D264">
        <v>14</v>
      </c>
      <c r="E264" t="s">
        <v>228</v>
      </c>
      <c r="F264" t="s">
        <v>229</v>
      </c>
      <c r="G264">
        <v>0</v>
      </c>
      <c r="H264">
        <v>0</v>
      </c>
      <c r="I264" t="s">
        <v>3</v>
      </c>
      <c r="J264">
        <v>0</v>
      </c>
      <c r="K264">
        <v>0</v>
      </c>
      <c r="L264" t="s">
        <v>3</v>
      </c>
      <c r="M264" t="s">
        <v>3</v>
      </c>
      <c r="N264">
        <v>0</v>
      </c>
      <c r="P264" t="s">
        <v>230</v>
      </c>
    </row>
    <row r="265" spans="1:16" x14ac:dyDescent="0.2">
      <c r="A265">
        <v>70</v>
      </c>
      <c r="B265">
        <v>1</v>
      </c>
      <c r="D265">
        <v>15</v>
      </c>
      <c r="E265" t="s">
        <v>231</v>
      </c>
      <c r="F265" t="s">
        <v>232</v>
      </c>
      <c r="G265">
        <v>0</v>
      </c>
      <c r="H265">
        <v>0</v>
      </c>
      <c r="I265" t="s">
        <v>3</v>
      </c>
      <c r="J265">
        <v>3</v>
      </c>
      <c r="K265">
        <v>0</v>
      </c>
      <c r="L265" t="s">
        <v>3</v>
      </c>
      <c r="M265" t="s">
        <v>3</v>
      </c>
      <c r="N265">
        <v>0</v>
      </c>
      <c r="P265" t="s">
        <v>3</v>
      </c>
    </row>
    <row r="266" spans="1:16" x14ac:dyDescent="0.2">
      <c r="A266">
        <v>70</v>
      </c>
      <c r="B266">
        <v>1</v>
      </c>
      <c r="D266">
        <v>16</v>
      </c>
      <c r="E266" t="s">
        <v>233</v>
      </c>
      <c r="F266" t="s">
        <v>234</v>
      </c>
      <c r="G266">
        <v>1</v>
      </c>
      <c r="H266">
        <v>0</v>
      </c>
      <c r="I266" t="s">
        <v>3</v>
      </c>
      <c r="J266">
        <v>3</v>
      </c>
      <c r="K266">
        <v>0</v>
      </c>
      <c r="L266" t="s">
        <v>3</v>
      </c>
      <c r="M266" t="s">
        <v>3</v>
      </c>
      <c r="N266">
        <v>0</v>
      </c>
      <c r="P266" t="s">
        <v>3</v>
      </c>
    </row>
    <row r="267" spans="1:16" x14ac:dyDescent="0.2">
      <c r="A267">
        <v>70</v>
      </c>
      <c r="B267">
        <v>1</v>
      </c>
      <c r="D267">
        <v>1</v>
      </c>
      <c r="E267" t="s">
        <v>235</v>
      </c>
      <c r="F267" t="s">
        <v>236</v>
      </c>
      <c r="G267">
        <v>0.9</v>
      </c>
      <c r="H267">
        <v>1</v>
      </c>
      <c r="I267" t="s">
        <v>237</v>
      </c>
      <c r="J267">
        <v>0</v>
      </c>
      <c r="K267">
        <v>0</v>
      </c>
      <c r="L267" t="s">
        <v>3</v>
      </c>
      <c r="M267" t="s">
        <v>3</v>
      </c>
      <c r="N267">
        <v>0</v>
      </c>
      <c r="P267" t="s">
        <v>238</v>
      </c>
    </row>
    <row r="268" spans="1:16" x14ac:dyDescent="0.2">
      <c r="A268">
        <v>70</v>
      </c>
      <c r="B268">
        <v>1</v>
      </c>
      <c r="D268">
        <v>2</v>
      </c>
      <c r="E268" t="s">
        <v>239</v>
      </c>
      <c r="F268" t="s">
        <v>240</v>
      </c>
      <c r="G268">
        <v>0.85</v>
      </c>
      <c r="H268">
        <v>1</v>
      </c>
      <c r="I268" t="s">
        <v>241</v>
      </c>
      <c r="J268">
        <v>0</v>
      </c>
      <c r="K268">
        <v>0</v>
      </c>
      <c r="L268" t="s">
        <v>3</v>
      </c>
      <c r="M268" t="s">
        <v>3</v>
      </c>
      <c r="N268">
        <v>0</v>
      </c>
      <c r="P268" t="s">
        <v>242</v>
      </c>
    </row>
    <row r="269" spans="1:16" x14ac:dyDescent="0.2">
      <c r="A269">
        <v>70</v>
      </c>
      <c r="B269">
        <v>1</v>
      </c>
      <c r="D269">
        <v>3</v>
      </c>
      <c r="E269" t="s">
        <v>243</v>
      </c>
      <c r="F269" t="s">
        <v>244</v>
      </c>
      <c r="G269">
        <v>1.03</v>
      </c>
      <c r="H269">
        <v>0</v>
      </c>
      <c r="I269" t="s">
        <v>3</v>
      </c>
      <c r="J269">
        <v>0</v>
      </c>
      <c r="K269">
        <v>0</v>
      </c>
      <c r="L269" t="s">
        <v>3</v>
      </c>
      <c r="M269" t="s">
        <v>3</v>
      </c>
      <c r="N269">
        <v>0</v>
      </c>
      <c r="P269" t="s">
        <v>245</v>
      </c>
    </row>
    <row r="270" spans="1:16" x14ac:dyDescent="0.2">
      <c r="A270">
        <v>70</v>
      </c>
      <c r="B270">
        <v>1</v>
      </c>
      <c r="D270">
        <v>4</v>
      </c>
      <c r="E270" t="s">
        <v>246</v>
      </c>
      <c r="F270" t="s">
        <v>247</v>
      </c>
      <c r="G270">
        <v>1.1499999999999999</v>
      </c>
      <c r="H270">
        <v>0</v>
      </c>
      <c r="I270" t="s">
        <v>3</v>
      </c>
      <c r="J270">
        <v>0</v>
      </c>
      <c r="K270">
        <v>0</v>
      </c>
      <c r="L270" t="s">
        <v>3</v>
      </c>
      <c r="M270" t="s">
        <v>3</v>
      </c>
      <c r="N270">
        <v>0</v>
      </c>
      <c r="P270" t="s">
        <v>248</v>
      </c>
    </row>
    <row r="271" spans="1:16" x14ac:dyDescent="0.2">
      <c r="A271">
        <v>70</v>
      </c>
      <c r="B271">
        <v>1</v>
      </c>
      <c r="D271">
        <v>5</v>
      </c>
      <c r="E271" t="s">
        <v>249</v>
      </c>
      <c r="F271" t="s">
        <v>250</v>
      </c>
      <c r="G271">
        <v>7</v>
      </c>
      <c r="H271">
        <v>0</v>
      </c>
      <c r="I271" t="s">
        <v>3</v>
      </c>
      <c r="J271">
        <v>0</v>
      </c>
      <c r="K271">
        <v>0</v>
      </c>
      <c r="L271" t="s">
        <v>3</v>
      </c>
      <c r="M271" t="s">
        <v>3</v>
      </c>
      <c r="N271">
        <v>0</v>
      </c>
      <c r="P271" t="s">
        <v>3</v>
      </c>
    </row>
    <row r="272" spans="1:16" x14ac:dyDescent="0.2">
      <c r="A272">
        <v>70</v>
      </c>
      <c r="B272">
        <v>1</v>
      </c>
      <c r="D272">
        <v>6</v>
      </c>
      <c r="E272" t="s">
        <v>251</v>
      </c>
      <c r="F272" t="s">
        <v>3</v>
      </c>
      <c r="G272">
        <v>2</v>
      </c>
      <c r="H272">
        <v>0</v>
      </c>
      <c r="I272" t="s">
        <v>3</v>
      </c>
      <c r="J272">
        <v>0</v>
      </c>
      <c r="K272">
        <v>0</v>
      </c>
      <c r="L272" t="s">
        <v>3</v>
      </c>
      <c r="M272" t="s">
        <v>3</v>
      </c>
      <c r="N272">
        <v>0</v>
      </c>
      <c r="P272" t="s">
        <v>3</v>
      </c>
    </row>
    <row r="274" spans="1:50" x14ac:dyDescent="0.2">
      <c r="A274">
        <v>-1</v>
      </c>
    </row>
    <row r="276" spans="1:50" x14ac:dyDescent="0.2">
      <c r="A276" s="3">
        <v>75</v>
      </c>
      <c r="B276" s="3" t="s">
        <v>252</v>
      </c>
      <c r="C276" s="3">
        <v>2024</v>
      </c>
      <c r="D276" s="3">
        <v>0</v>
      </c>
      <c r="E276" s="3">
        <v>6</v>
      </c>
      <c r="F276" s="3">
        <v>1</v>
      </c>
      <c r="G276" s="3">
        <v>0</v>
      </c>
      <c r="H276" s="3">
        <v>1</v>
      </c>
      <c r="I276" s="3">
        <v>0</v>
      </c>
      <c r="J276" s="3">
        <v>3</v>
      </c>
      <c r="K276" s="3">
        <v>0</v>
      </c>
      <c r="L276" s="3">
        <v>0</v>
      </c>
      <c r="M276" s="3">
        <v>0</v>
      </c>
      <c r="N276" s="3">
        <v>61625010</v>
      </c>
      <c r="O276" s="3">
        <v>1</v>
      </c>
    </row>
    <row r="277" spans="1:50" x14ac:dyDescent="0.2">
      <c r="A277" s="5">
        <v>2</v>
      </c>
      <c r="B277" s="5" t="s">
        <v>253</v>
      </c>
      <c r="C277" s="5" t="s">
        <v>254</v>
      </c>
      <c r="D277" s="5">
        <v>0</v>
      </c>
      <c r="E277" s="5">
        <v>0</v>
      </c>
      <c r="F277" s="5">
        <v>0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>
        <v>61625011</v>
      </c>
    </row>
    <row r="278" spans="1:50" x14ac:dyDescent="0.2">
      <c r="A278" s="5">
        <v>1</v>
      </c>
      <c r="B278" s="5" t="s">
        <v>255</v>
      </c>
      <c r="C278" s="5" t="s">
        <v>256</v>
      </c>
      <c r="D278" s="5">
        <v>2024</v>
      </c>
      <c r="E278" s="5">
        <v>6</v>
      </c>
      <c r="F278" s="5">
        <v>1</v>
      </c>
      <c r="G278" s="5">
        <v>1</v>
      </c>
      <c r="H278" s="5">
        <v>0</v>
      </c>
      <c r="I278" s="5">
        <v>2</v>
      </c>
      <c r="J278" s="5">
        <v>1</v>
      </c>
      <c r="K278" s="5">
        <v>1</v>
      </c>
      <c r="L278" s="5">
        <v>1</v>
      </c>
      <c r="M278" s="5">
        <v>1</v>
      </c>
      <c r="N278" s="5">
        <v>1</v>
      </c>
      <c r="O278" s="5">
        <v>1</v>
      </c>
      <c r="P278" s="5">
        <v>1</v>
      </c>
      <c r="Q278" s="5">
        <v>1</v>
      </c>
      <c r="R278" s="5" t="s">
        <v>3</v>
      </c>
      <c r="S278" s="5" t="s">
        <v>3</v>
      </c>
      <c r="T278" s="5" t="s">
        <v>3</v>
      </c>
      <c r="U278" s="5" t="s">
        <v>3</v>
      </c>
      <c r="V278" s="5" t="s">
        <v>3</v>
      </c>
      <c r="W278" s="5" t="s">
        <v>3</v>
      </c>
      <c r="X278" s="5" t="s">
        <v>3</v>
      </c>
      <c r="Y278" s="5" t="s">
        <v>3</v>
      </c>
      <c r="Z278" s="5" t="s">
        <v>3</v>
      </c>
      <c r="AA278" s="5" t="s">
        <v>3</v>
      </c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>
        <v>61625012</v>
      </c>
      <c r="AO278" s="5" t="s">
        <v>257</v>
      </c>
      <c r="AP278" s="5" t="s">
        <v>258</v>
      </c>
      <c r="AQ278" s="5">
        <v>45435</v>
      </c>
      <c r="AR278" s="5">
        <v>337</v>
      </c>
      <c r="AS278" s="5" t="s">
        <v>259</v>
      </c>
      <c r="AT278" s="5" t="s">
        <v>3</v>
      </c>
      <c r="AU278" s="5" t="s">
        <v>258</v>
      </c>
      <c r="AV278" s="5"/>
      <c r="AW278" s="5">
        <v>0</v>
      </c>
      <c r="AX278" s="5" t="s">
        <v>260</v>
      </c>
    </row>
    <row r="282" spans="1:50" x14ac:dyDescent="0.2">
      <c r="A282">
        <v>65</v>
      </c>
      <c r="C282">
        <v>1</v>
      </c>
      <c r="D282">
        <v>0</v>
      </c>
      <c r="E28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3E786-8662-4826-B567-1E6691CBA100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261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320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61625010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17</v>
      </c>
      <c r="E16" s="7">
        <f>ROUND((Source!F202)/1000,2)</f>
        <v>1606.42</v>
      </c>
      <c r="F16" s="7">
        <f>ROUND((Source!F203)/1000,2)</f>
        <v>81.05</v>
      </c>
      <c r="G16" s="7">
        <f>ROUND((Source!F194)/1000,2)</f>
        <v>0</v>
      </c>
      <c r="H16" s="7">
        <f>ROUND((Source!F204)/1000+(Source!F205)/1000,2)</f>
        <v>249.44</v>
      </c>
      <c r="I16" s="7">
        <f>E16+F16+G16+H16</f>
        <v>1936.91</v>
      </c>
      <c r="J16" s="7">
        <f>ROUND((Source!F200+Source!F199)/1000,2)</f>
        <v>148.66999999999999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1762016.17</v>
      </c>
      <c r="AU16" s="7">
        <v>1608025.06</v>
      </c>
      <c r="AV16" s="7">
        <v>0</v>
      </c>
      <c r="AW16" s="7">
        <v>0</v>
      </c>
      <c r="AX16" s="7">
        <v>0</v>
      </c>
      <c r="AY16" s="7">
        <v>5321.48</v>
      </c>
      <c r="AZ16" s="7">
        <v>2825.6800000000003</v>
      </c>
      <c r="BA16" s="7">
        <v>145843.95000000001</v>
      </c>
      <c r="BB16" s="7">
        <v>0</v>
      </c>
      <c r="BC16" s="7">
        <v>81049.490000000005</v>
      </c>
      <c r="BD16" s="7">
        <v>249443.67</v>
      </c>
      <c r="BE16" s="7">
        <v>0</v>
      </c>
      <c r="BF16" s="7">
        <v>277.49040000000002</v>
      </c>
      <c r="BG16" s="7">
        <v>5.5949920000000004</v>
      </c>
      <c r="BH16" s="7">
        <v>0</v>
      </c>
      <c r="BI16" s="7">
        <v>116889.53</v>
      </c>
      <c r="BJ16" s="7">
        <v>58004.12</v>
      </c>
      <c r="BK16" s="7">
        <v>1936909.82</v>
      </c>
    </row>
    <row r="18" spans="1:19" x14ac:dyDescent="0.2">
      <c r="A18">
        <v>51</v>
      </c>
      <c r="E18" s="8">
        <f>SUMIF(A16:A17,3,E16:E17)</f>
        <v>1606.42</v>
      </c>
      <c r="F18" s="8">
        <f>SUMIF(A16:A17,3,F16:F17)</f>
        <v>81.05</v>
      </c>
      <c r="G18" s="8">
        <f>SUMIF(A16:A17,3,G16:G17)</f>
        <v>0</v>
      </c>
      <c r="H18" s="8">
        <f>SUMIF(A16:A17,3,H16:H17)</f>
        <v>249.44</v>
      </c>
      <c r="I18" s="8">
        <f>SUMIF(A16:A17,3,I16:I17)</f>
        <v>1936.91</v>
      </c>
      <c r="J18" s="8">
        <f>SUMIF(A16:A17,3,J16:J17)</f>
        <v>148.66999999999999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1762016.17</v>
      </c>
      <c r="G20" s="4" t="s">
        <v>39</v>
      </c>
      <c r="H20" s="4" t="s">
        <v>40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1608025.06</v>
      </c>
      <c r="G21" s="4" t="s">
        <v>41</v>
      </c>
      <c r="H21" s="4" t="s">
        <v>42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43</v>
      </c>
      <c r="H22" s="4" t="s">
        <v>44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1608025.06</v>
      </c>
      <c r="G23" s="4" t="s">
        <v>45</v>
      </c>
      <c r="H23" s="4" t="s">
        <v>46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1608025.06</v>
      </c>
      <c r="G24" s="4" t="s">
        <v>47</v>
      </c>
      <c r="H24" s="4" t="s">
        <v>48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49</v>
      </c>
      <c r="H25" s="4" t="s">
        <v>50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1608025.06</v>
      </c>
      <c r="G26" s="4" t="s">
        <v>51</v>
      </c>
      <c r="H26" s="4" t="s">
        <v>52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53</v>
      </c>
      <c r="H27" s="4" t="s">
        <v>54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55</v>
      </c>
      <c r="H28" s="4" t="s">
        <v>56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57</v>
      </c>
      <c r="H29" s="4" t="s">
        <v>58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5321.48</v>
      </c>
      <c r="G30" s="4" t="s">
        <v>59</v>
      </c>
      <c r="H30" s="4" t="s">
        <v>60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61</v>
      </c>
      <c r="H31" s="4" t="s">
        <v>62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2825.6800000000003</v>
      </c>
      <c r="G32" s="4" t="s">
        <v>63</v>
      </c>
      <c r="H32" s="4" t="s">
        <v>64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145843.95000000001</v>
      </c>
      <c r="G33" s="4" t="s">
        <v>65</v>
      </c>
      <c r="H33" s="4" t="s">
        <v>66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67</v>
      </c>
      <c r="H34" s="4" t="s">
        <v>68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69</v>
      </c>
      <c r="H35" s="4" t="s">
        <v>70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81049.490000000005</v>
      </c>
      <c r="G36" s="4" t="s">
        <v>71</v>
      </c>
      <c r="H36" s="4" t="s">
        <v>72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249443.67</v>
      </c>
      <c r="G37" s="4" t="s">
        <v>73</v>
      </c>
      <c r="H37" s="4" t="s">
        <v>74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75</v>
      </c>
      <c r="H38" s="4" t="s">
        <v>76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77</v>
      </c>
      <c r="H39" s="4" t="s">
        <v>78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277.49040000000002</v>
      </c>
      <c r="G40" s="4" t="s">
        <v>79</v>
      </c>
      <c r="H40" s="4" t="s">
        <v>80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5.5949920000000004</v>
      </c>
      <c r="G41" s="4" t="s">
        <v>81</v>
      </c>
      <c r="H41" s="4" t="s">
        <v>82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83</v>
      </c>
      <c r="H42" s="4" t="s">
        <v>84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85</v>
      </c>
      <c r="H43" s="4" t="s">
        <v>86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116889.53</v>
      </c>
      <c r="G44" s="4" t="s">
        <v>87</v>
      </c>
      <c r="H44" s="4" t="s">
        <v>88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58004.12</v>
      </c>
      <c r="G45" s="4" t="s">
        <v>89</v>
      </c>
      <c r="H45" s="4" t="s">
        <v>90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1936909.82</v>
      </c>
      <c r="G46" s="4" t="s">
        <v>91</v>
      </c>
      <c r="H46" s="4" t="s">
        <v>92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252</v>
      </c>
      <c r="C51" s="3">
        <v>2024</v>
      </c>
      <c r="D51" s="3">
        <v>0</v>
      </c>
      <c r="E51" s="3">
        <v>6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61625010</v>
      </c>
      <c r="O51" s="3">
        <v>1</v>
      </c>
    </row>
    <row r="52" spans="1:50" x14ac:dyDescent="0.2">
      <c r="A52" s="5">
        <v>2</v>
      </c>
      <c r="B52" s="5" t="s">
        <v>253</v>
      </c>
      <c r="C52" s="5" t="s">
        <v>254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61625011</v>
      </c>
    </row>
    <row r="53" spans="1:50" x14ac:dyDescent="0.2">
      <c r="A53" s="5">
        <v>1</v>
      </c>
      <c r="B53" s="5" t="s">
        <v>255</v>
      </c>
      <c r="C53" s="5" t="s">
        <v>256</v>
      </c>
      <c r="D53" s="5">
        <v>2024</v>
      </c>
      <c r="E53" s="5">
        <v>6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61625012</v>
      </c>
      <c r="AO53" s="5" t="s">
        <v>257</v>
      </c>
      <c r="AP53" s="5" t="s">
        <v>258</v>
      </c>
      <c r="AQ53" s="5">
        <v>45435</v>
      </c>
      <c r="AR53" s="5">
        <v>337</v>
      </c>
      <c r="AS53" s="5" t="s">
        <v>259</v>
      </c>
      <c r="AT53" s="5" t="s">
        <v>3</v>
      </c>
      <c r="AU53" s="5" t="s">
        <v>258</v>
      </c>
      <c r="AV53" s="5"/>
      <c r="AW53" s="5">
        <v>0</v>
      </c>
      <c r="AX53" s="5" t="s">
        <v>260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47811-273C-4491-B2FB-2925985A5AAE}">
  <dimension ref="A1:DO24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61625010</v>
      </c>
      <c r="C1">
        <v>61625135</v>
      </c>
      <c r="D1">
        <v>60458000</v>
      </c>
      <c r="E1">
        <v>110</v>
      </c>
      <c r="F1">
        <v>1</v>
      </c>
      <c r="G1">
        <v>1</v>
      </c>
      <c r="H1">
        <v>1</v>
      </c>
      <c r="I1" t="s">
        <v>262</v>
      </c>
      <c r="J1" t="s">
        <v>3</v>
      </c>
      <c r="K1" t="s">
        <v>263</v>
      </c>
      <c r="L1">
        <v>1191</v>
      </c>
      <c r="N1">
        <v>1013</v>
      </c>
      <c r="O1" t="s">
        <v>264</v>
      </c>
      <c r="P1" t="s">
        <v>264</v>
      </c>
      <c r="Q1">
        <v>1</v>
      </c>
      <c r="W1">
        <v>0</v>
      </c>
      <c r="X1">
        <v>-1111239348</v>
      </c>
      <c r="Y1">
        <f>(AT1*ROUND(0.3,7))</f>
        <v>6.81</v>
      </c>
      <c r="AA1">
        <v>0</v>
      </c>
      <c r="AB1">
        <v>0</v>
      </c>
      <c r="AC1">
        <v>0</v>
      </c>
      <c r="AD1">
        <v>435.27</v>
      </c>
      <c r="AE1">
        <v>0</v>
      </c>
      <c r="AF1">
        <v>0</v>
      </c>
      <c r="AG1">
        <v>0</v>
      </c>
      <c r="AH1">
        <v>435.27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22.7</v>
      </c>
      <c r="AU1" t="s">
        <v>27</v>
      </c>
      <c r="AV1">
        <v>1</v>
      </c>
      <c r="AW1">
        <v>2</v>
      </c>
      <c r="AX1">
        <v>61625977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9880.628999999999</v>
      </c>
      <c r="BN1">
        <v>22.7</v>
      </c>
      <c r="BO1">
        <v>0</v>
      </c>
      <c r="BP1">
        <v>1</v>
      </c>
      <c r="BQ1">
        <v>0</v>
      </c>
      <c r="BR1">
        <v>0</v>
      </c>
      <c r="BS1">
        <v>0</v>
      </c>
      <c r="BT1">
        <v>2964.1886999999997</v>
      </c>
      <c r="BU1">
        <v>6.81</v>
      </c>
      <c r="BV1">
        <v>0</v>
      </c>
      <c r="BW1">
        <v>1</v>
      </c>
      <c r="CU1">
        <f>ROUND(AT1*Source!I28*AH1*AL1,2)</f>
        <v>19761.259999999998</v>
      </c>
      <c r="CV1">
        <f>ROUND(Y1*Source!I28,7)</f>
        <v>13.62</v>
      </c>
      <c r="CW1">
        <v>0</v>
      </c>
      <c r="CX1">
        <f>ROUND(Y1*Source!I28,7)</f>
        <v>13.62</v>
      </c>
      <c r="CY1">
        <f>AD1</f>
        <v>435.27</v>
      </c>
      <c r="CZ1">
        <f>AH1</f>
        <v>435.27</v>
      </c>
      <c r="DA1">
        <f>AL1</f>
        <v>1</v>
      </c>
      <c r="DB1">
        <f>ROUND((ROUND(AT1*CZ1,2)*ROUND(0.3,7)),6)</f>
        <v>2964.1889999999999</v>
      </c>
      <c r="DC1">
        <f>ROUND((ROUND(AT1*AG1,2)*ROUND(0.3,7)),6)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32" si="0">ROUND(ROUND(AG1,2)*CX1,2)</f>
        <v>0</v>
      </c>
      <c r="DI1">
        <f t="shared" ref="DI1:DI32" si="1">ROUND(ROUND(AH1,2)*CX1,2)</f>
        <v>5928.38</v>
      </c>
      <c r="DJ1">
        <f>DI1</f>
        <v>5928.38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61625010</v>
      </c>
      <c r="C2">
        <v>61625135</v>
      </c>
      <c r="D2">
        <v>60458172</v>
      </c>
      <c r="E2">
        <v>110</v>
      </c>
      <c r="F2">
        <v>1</v>
      </c>
      <c r="G2">
        <v>1</v>
      </c>
      <c r="H2">
        <v>1</v>
      </c>
      <c r="I2" t="s">
        <v>265</v>
      </c>
      <c r="J2" t="s">
        <v>3</v>
      </c>
      <c r="K2" t="s">
        <v>266</v>
      </c>
      <c r="L2">
        <v>1191</v>
      </c>
      <c r="N2">
        <v>1013</v>
      </c>
      <c r="O2" t="s">
        <v>264</v>
      </c>
      <c r="P2" t="s">
        <v>264</v>
      </c>
      <c r="Q2">
        <v>1</v>
      </c>
      <c r="W2">
        <v>0</v>
      </c>
      <c r="X2">
        <v>-1417349443</v>
      </c>
      <c r="Y2">
        <f>(AT2*ROUND(0.3,7))</f>
        <v>0.6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2</v>
      </c>
      <c r="AU2" t="s">
        <v>27</v>
      </c>
      <c r="AV2">
        <v>2</v>
      </c>
      <c r="AW2">
        <v>2</v>
      </c>
      <c r="AX2">
        <v>61625978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ROUND(Y2*Source!I28,7)</f>
        <v>1.2</v>
      </c>
      <c r="CY2">
        <f>AD2</f>
        <v>0</v>
      </c>
      <c r="CZ2">
        <f>AH2</f>
        <v>0</v>
      </c>
      <c r="DA2">
        <f>AL2</f>
        <v>1</v>
      </c>
      <c r="DB2">
        <f>ROUND((ROUND(AT2*CZ2,2)*ROUND(0.3,7)),6)</f>
        <v>0</v>
      </c>
      <c r="DC2">
        <f>ROUND((ROUND(AT2*AG2,2)*ROUND(0.3,7)),6)</f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0"/>
        <v>0</v>
      </c>
      <c r="DI2">
        <f t="shared" si="1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61625010</v>
      </c>
      <c r="C3">
        <v>61625135</v>
      </c>
      <c r="D3">
        <v>60465258</v>
      </c>
      <c r="E3">
        <v>1</v>
      </c>
      <c r="F3">
        <v>1</v>
      </c>
      <c r="G3">
        <v>1</v>
      </c>
      <c r="H3">
        <v>2</v>
      </c>
      <c r="I3" t="s">
        <v>267</v>
      </c>
      <c r="J3" t="s">
        <v>268</v>
      </c>
      <c r="K3" t="s">
        <v>269</v>
      </c>
      <c r="L3">
        <v>1368</v>
      </c>
      <c r="N3">
        <v>1011</v>
      </c>
      <c r="O3" t="s">
        <v>270</v>
      </c>
      <c r="P3" t="s">
        <v>270</v>
      </c>
      <c r="Q3">
        <v>1</v>
      </c>
      <c r="W3">
        <v>0</v>
      </c>
      <c r="X3">
        <v>-1112845829</v>
      </c>
      <c r="Y3">
        <f>(AT3*ROUND(0.3,7))</f>
        <v>0.3</v>
      </c>
      <c r="AA3">
        <v>0</v>
      </c>
      <c r="AB3">
        <v>1459.82</v>
      </c>
      <c r="AC3">
        <v>584.69000000000005</v>
      </c>
      <c r="AD3">
        <v>0</v>
      </c>
      <c r="AE3">
        <v>0</v>
      </c>
      <c r="AF3">
        <v>1459.82</v>
      </c>
      <c r="AG3">
        <v>584.69000000000005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1</v>
      </c>
      <c r="AU3" t="s">
        <v>27</v>
      </c>
      <c r="AV3">
        <v>1</v>
      </c>
      <c r="AW3">
        <v>2</v>
      </c>
      <c r="AX3">
        <v>61625979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1459.82</v>
      </c>
      <c r="BL3">
        <v>584.69000000000005</v>
      </c>
      <c r="BM3">
        <v>0</v>
      </c>
      <c r="BN3">
        <v>0</v>
      </c>
      <c r="BO3">
        <v>1</v>
      </c>
      <c r="BP3">
        <v>1</v>
      </c>
      <c r="BQ3">
        <v>0</v>
      </c>
      <c r="BR3">
        <v>437.94599999999997</v>
      </c>
      <c r="BS3">
        <v>175.40700000000001</v>
      </c>
      <c r="BT3">
        <v>0</v>
      </c>
      <c r="BU3">
        <v>0</v>
      </c>
      <c r="BV3">
        <v>0.3</v>
      </c>
      <c r="BW3">
        <v>1</v>
      </c>
      <c r="CV3">
        <v>0</v>
      </c>
      <c r="CW3">
        <f>ROUND(Y3*Source!I28*DO3,7)</f>
        <v>0.6</v>
      </c>
      <c r="CX3">
        <f>ROUND(Y3*Source!I28,7)</f>
        <v>0.6</v>
      </c>
      <c r="CY3">
        <f>AB3</f>
        <v>1459.82</v>
      </c>
      <c r="CZ3">
        <f>AF3</f>
        <v>1459.82</v>
      </c>
      <c r="DA3">
        <f>AJ3</f>
        <v>1</v>
      </c>
      <c r="DB3">
        <f>ROUND((ROUND(AT3*CZ3,2)*ROUND(0.3,7)),6)</f>
        <v>437.94600000000003</v>
      </c>
      <c r="DC3">
        <f>ROUND((ROUND(AT3*AG3,2)*ROUND(0.3,7)),6)</f>
        <v>175.40700000000001</v>
      </c>
      <c r="DD3" t="s">
        <v>3</v>
      </c>
      <c r="DE3" t="s">
        <v>3</v>
      </c>
      <c r="DF3">
        <f>ROUND(ROUND(AE3,2)*CX3,2)</f>
        <v>0</v>
      </c>
      <c r="DG3">
        <f>ROUND(ROUND(AF3,2)*CX3,2)</f>
        <v>875.89</v>
      </c>
      <c r="DH3">
        <f t="shared" si="0"/>
        <v>350.81</v>
      </c>
      <c r="DI3">
        <f t="shared" si="1"/>
        <v>0</v>
      </c>
      <c r="DJ3">
        <f>DG3+DH3</f>
        <v>1226.7</v>
      </c>
      <c r="DK3">
        <v>1</v>
      </c>
      <c r="DL3" t="s">
        <v>271</v>
      </c>
      <c r="DM3">
        <v>6</v>
      </c>
      <c r="DN3" t="s">
        <v>264</v>
      </c>
      <c r="DO3">
        <v>1</v>
      </c>
    </row>
    <row r="4" spans="1:119" x14ac:dyDescent="0.2">
      <c r="A4">
        <f>ROW(Source!A28)</f>
        <v>28</v>
      </c>
      <c r="B4">
        <v>61625010</v>
      </c>
      <c r="C4">
        <v>61625135</v>
      </c>
      <c r="D4">
        <v>60466143</v>
      </c>
      <c r="E4">
        <v>1</v>
      </c>
      <c r="F4">
        <v>1</v>
      </c>
      <c r="G4">
        <v>1</v>
      </c>
      <c r="H4">
        <v>2</v>
      </c>
      <c r="I4" t="s">
        <v>272</v>
      </c>
      <c r="J4" t="s">
        <v>273</v>
      </c>
      <c r="K4" t="s">
        <v>274</v>
      </c>
      <c r="L4">
        <v>1368</v>
      </c>
      <c r="N4">
        <v>1011</v>
      </c>
      <c r="O4" t="s">
        <v>270</v>
      </c>
      <c r="P4" t="s">
        <v>270</v>
      </c>
      <c r="Q4">
        <v>1</v>
      </c>
      <c r="W4">
        <v>0</v>
      </c>
      <c r="X4">
        <v>-1006353707</v>
      </c>
      <c r="Y4">
        <f>(AT4*ROUND(0.3,7))</f>
        <v>0.3</v>
      </c>
      <c r="AA4">
        <v>0</v>
      </c>
      <c r="AB4">
        <v>568.72</v>
      </c>
      <c r="AC4">
        <v>435.27</v>
      </c>
      <c r="AD4">
        <v>0</v>
      </c>
      <c r="AE4">
        <v>0</v>
      </c>
      <c r="AF4">
        <v>477.92</v>
      </c>
      <c r="AG4">
        <v>435.27</v>
      </c>
      <c r="AH4">
        <v>0</v>
      </c>
      <c r="AI4">
        <v>1</v>
      </c>
      <c r="AJ4">
        <v>1.19</v>
      </c>
      <c r="AK4">
        <v>1</v>
      </c>
      <c r="AL4">
        <v>1</v>
      </c>
      <c r="AM4">
        <v>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1</v>
      </c>
      <c r="AU4" t="s">
        <v>27</v>
      </c>
      <c r="AV4">
        <v>1</v>
      </c>
      <c r="AW4">
        <v>2</v>
      </c>
      <c r="AX4">
        <v>61625980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477.92</v>
      </c>
      <c r="BL4">
        <v>435.27</v>
      </c>
      <c r="BM4">
        <v>0</v>
      </c>
      <c r="BN4">
        <v>0</v>
      </c>
      <c r="BO4">
        <v>1</v>
      </c>
      <c r="BP4">
        <v>1</v>
      </c>
      <c r="BQ4">
        <v>0</v>
      </c>
      <c r="BR4">
        <v>143.376</v>
      </c>
      <c r="BS4">
        <v>130.58099999999999</v>
      </c>
      <c r="BT4">
        <v>0</v>
      </c>
      <c r="BU4">
        <v>0</v>
      </c>
      <c r="BV4">
        <v>0.3</v>
      </c>
      <c r="BW4">
        <v>1</v>
      </c>
      <c r="CV4">
        <v>0</v>
      </c>
      <c r="CW4">
        <f>ROUND(Y4*Source!I28*DO4,7)</f>
        <v>0.6</v>
      </c>
      <c r="CX4">
        <f>ROUND(Y4*Source!I28,7)</f>
        <v>0.6</v>
      </c>
      <c r="CY4">
        <f>AB4</f>
        <v>568.72</v>
      </c>
      <c r="CZ4">
        <f>AF4</f>
        <v>477.92</v>
      </c>
      <c r="DA4">
        <f>AJ4</f>
        <v>1.19</v>
      </c>
      <c r="DB4">
        <f>ROUND((ROUND(AT4*CZ4,2)*ROUND(0.3,7)),6)</f>
        <v>143.376</v>
      </c>
      <c r="DC4">
        <f>ROUND((ROUND(AT4*AG4,2)*ROUND(0.3,7)),6)</f>
        <v>130.58099999999999</v>
      </c>
      <c r="DD4" t="s">
        <v>3</v>
      </c>
      <c r="DE4" t="s">
        <v>3</v>
      </c>
      <c r="DF4">
        <f>ROUND(ROUND(AE4,2)*CX4,2)</f>
        <v>0</v>
      </c>
      <c r="DG4">
        <f>ROUND(ROUND(AF4*AJ4,2)*CX4,2)</f>
        <v>341.23</v>
      </c>
      <c r="DH4">
        <f t="shared" si="0"/>
        <v>261.16000000000003</v>
      </c>
      <c r="DI4">
        <f t="shared" si="1"/>
        <v>0</v>
      </c>
      <c r="DJ4">
        <f>DG4+DH4</f>
        <v>602.3900000000001</v>
      </c>
      <c r="DK4">
        <v>1</v>
      </c>
      <c r="DL4" t="s">
        <v>275</v>
      </c>
      <c r="DM4">
        <v>4</v>
      </c>
      <c r="DN4" t="s">
        <v>264</v>
      </c>
      <c r="DO4">
        <v>1</v>
      </c>
    </row>
    <row r="5" spans="1:119" x14ac:dyDescent="0.2">
      <c r="A5">
        <f>ROW(Source!A28)</f>
        <v>28</v>
      </c>
      <c r="B5">
        <v>61625010</v>
      </c>
      <c r="C5">
        <v>61625135</v>
      </c>
      <c r="D5">
        <v>60532964</v>
      </c>
      <c r="E5">
        <v>1</v>
      </c>
      <c r="F5">
        <v>1</v>
      </c>
      <c r="G5">
        <v>1</v>
      </c>
      <c r="H5">
        <v>3</v>
      </c>
      <c r="I5" t="s">
        <v>276</v>
      </c>
      <c r="J5" t="s">
        <v>277</v>
      </c>
      <c r="K5" t="s">
        <v>278</v>
      </c>
      <c r="L5">
        <v>1346</v>
      </c>
      <c r="N5">
        <v>1009</v>
      </c>
      <c r="O5" t="s">
        <v>106</v>
      </c>
      <c r="P5" t="s">
        <v>106</v>
      </c>
      <c r="Q5">
        <v>1</v>
      </c>
      <c r="W5">
        <v>0</v>
      </c>
      <c r="X5">
        <v>912181421</v>
      </c>
      <c r="Y5">
        <f>(AT5*ROUND(0,7))</f>
        <v>0</v>
      </c>
      <c r="AA5">
        <v>194.17</v>
      </c>
      <c r="AB5">
        <v>0</v>
      </c>
      <c r="AC5">
        <v>0</v>
      </c>
      <c r="AD5">
        <v>0</v>
      </c>
      <c r="AE5">
        <v>174.93</v>
      </c>
      <c r="AF5">
        <v>0</v>
      </c>
      <c r="AG5">
        <v>0</v>
      </c>
      <c r="AH5">
        <v>0</v>
      </c>
      <c r="AI5">
        <v>1.1100000000000001</v>
      </c>
      <c r="AJ5">
        <v>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0.42</v>
      </c>
      <c r="AU5" t="s">
        <v>26</v>
      </c>
      <c r="AV5">
        <v>0</v>
      </c>
      <c r="AW5">
        <v>2</v>
      </c>
      <c r="AX5">
        <v>61625981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73.470600000000005</v>
      </c>
      <c r="BK5">
        <v>0</v>
      </c>
      <c r="BL5">
        <v>0</v>
      </c>
      <c r="BM5">
        <v>0</v>
      </c>
      <c r="BN5">
        <v>0</v>
      </c>
      <c r="BO5">
        <v>0</v>
      </c>
      <c r="BP5">
        <v>1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ROUND(Y5*Source!I28,7)</f>
        <v>0</v>
      </c>
      <c r="CY5">
        <f>AA5</f>
        <v>194.17</v>
      </c>
      <c r="CZ5">
        <f>AE5</f>
        <v>174.93</v>
      </c>
      <c r="DA5">
        <f>AI5</f>
        <v>1.1100000000000001</v>
      </c>
      <c r="DB5">
        <f>ROUND((ROUND(AT5*CZ5,2)*ROUND(0,7)),6)</f>
        <v>0</v>
      </c>
      <c r="DC5">
        <f>ROUND((ROUND(AT5*AG5,2)*ROUND(0,7)),6)</f>
        <v>0</v>
      </c>
      <c r="DD5" t="s">
        <v>3</v>
      </c>
      <c r="DE5" t="s">
        <v>3</v>
      </c>
      <c r="DF5">
        <f>ROUND(ROUND(AE5*AI5,2)*CX5,2)</f>
        <v>0</v>
      </c>
      <c r="DG5">
        <f t="shared" ref="DG5:DG11" si="2">ROUND(ROUND(AF5,2)*CX5,2)</f>
        <v>0</v>
      </c>
      <c r="DH5">
        <f t="shared" si="0"/>
        <v>0</v>
      </c>
      <c r="DI5">
        <f t="shared" si="1"/>
        <v>0</v>
      </c>
      <c r="DJ5">
        <f>DF5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61625010</v>
      </c>
      <c r="C6">
        <v>61625135</v>
      </c>
      <c r="D6">
        <v>60539739</v>
      </c>
      <c r="E6">
        <v>1</v>
      </c>
      <c r="F6">
        <v>1</v>
      </c>
      <c r="G6">
        <v>1</v>
      </c>
      <c r="H6">
        <v>3</v>
      </c>
      <c r="I6" t="s">
        <v>279</v>
      </c>
      <c r="J6" t="s">
        <v>280</v>
      </c>
      <c r="K6" t="s">
        <v>281</v>
      </c>
      <c r="L6">
        <v>1348</v>
      </c>
      <c r="N6">
        <v>1009</v>
      </c>
      <c r="O6" t="s">
        <v>282</v>
      </c>
      <c r="P6" t="s">
        <v>282</v>
      </c>
      <c r="Q6">
        <v>1000</v>
      </c>
      <c r="W6">
        <v>0</v>
      </c>
      <c r="X6">
        <v>-1068221380</v>
      </c>
      <c r="Y6">
        <f>(AT6*ROUND(0,7))</f>
        <v>0</v>
      </c>
      <c r="AA6">
        <v>62576.3</v>
      </c>
      <c r="AB6">
        <v>0</v>
      </c>
      <c r="AC6">
        <v>0</v>
      </c>
      <c r="AD6">
        <v>0</v>
      </c>
      <c r="AE6">
        <v>70310.45</v>
      </c>
      <c r="AF6">
        <v>0</v>
      </c>
      <c r="AG6">
        <v>0</v>
      </c>
      <c r="AH6">
        <v>0</v>
      </c>
      <c r="AI6">
        <v>0.89</v>
      </c>
      <c r="AJ6">
        <v>1</v>
      </c>
      <c r="AK6">
        <v>1</v>
      </c>
      <c r="AL6">
        <v>1</v>
      </c>
      <c r="AM6">
        <v>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1E-3</v>
      </c>
      <c r="AU6" t="s">
        <v>26</v>
      </c>
      <c r="AV6">
        <v>0</v>
      </c>
      <c r="AW6">
        <v>2</v>
      </c>
      <c r="AX6">
        <v>61625982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70.310450000000003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ROUND(Y6*Source!I28,7)</f>
        <v>0</v>
      </c>
      <c r="CY6">
        <f>AA6</f>
        <v>62576.3</v>
      </c>
      <c r="CZ6">
        <f>AE6</f>
        <v>70310.45</v>
      </c>
      <c r="DA6">
        <f>AI6</f>
        <v>0.89</v>
      </c>
      <c r="DB6">
        <f>ROUND((ROUND(AT6*CZ6,2)*ROUND(0,7)),6)</f>
        <v>0</v>
      </c>
      <c r="DC6">
        <f>ROUND((ROUND(AT6*AG6,2)*ROUND(0,7)),6)</f>
        <v>0</v>
      </c>
      <c r="DD6" t="s">
        <v>3</v>
      </c>
      <c r="DE6" t="s">
        <v>3</v>
      </c>
      <c r="DF6">
        <f>ROUND(ROUND(AE6*AI6,2)*CX6,2)</f>
        <v>0</v>
      </c>
      <c r="DG6">
        <f t="shared" si="2"/>
        <v>0</v>
      </c>
      <c r="DH6">
        <f t="shared" si="0"/>
        <v>0</v>
      </c>
      <c r="DI6">
        <f t="shared" si="1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ROW(Source!A28)</f>
        <v>28</v>
      </c>
      <c r="B7">
        <v>61625010</v>
      </c>
      <c r="C7">
        <v>61625135</v>
      </c>
      <c r="D7">
        <v>60549173</v>
      </c>
      <c r="E7">
        <v>1</v>
      </c>
      <c r="F7">
        <v>1</v>
      </c>
      <c r="G7">
        <v>1</v>
      </c>
      <c r="H7">
        <v>3</v>
      </c>
      <c r="I7" t="s">
        <v>283</v>
      </c>
      <c r="J7" t="s">
        <v>284</v>
      </c>
      <c r="K7" t="s">
        <v>285</v>
      </c>
      <c r="L7">
        <v>1346</v>
      </c>
      <c r="N7">
        <v>1009</v>
      </c>
      <c r="O7" t="s">
        <v>106</v>
      </c>
      <c r="P7" t="s">
        <v>106</v>
      </c>
      <c r="Q7">
        <v>1</v>
      </c>
      <c r="W7">
        <v>0</v>
      </c>
      <c r="X7">
        <v>801841253</v>
      </c>
      <c r="Y7">
        <f>(AT7*ROUND(0,7))</f>
        <v>0</v>
      </c>
      <c r="AA7">
        <v>104.64</v>
      </c>
      <c r="AB7">
        <v>0</v>
      </c>
      <c r="AC7">
        <v>0</v>
      </c>
      <c r="AD7">
        <v>0</v>
      </c>
      <c r="AE7">
        <v>79.88</v>
      </c>
      <c r="AF7">
        <v>0</v>
      </c>
      <c r="AG7">
        <v>0</v>
      </c>
      <c r="AH7">
        <v>0</v>
      </c>
      <c r="AI7">
        <v>1.31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0.3</v>
      </c>
      <c r="AU7" t="s">
        <v>26</v>
      </c>
      <c r="AV7">
        <v>0</v>
      </c>
      <c r="AW7">
        <v>2</v>
      </c>
      <c r="AX7">
        <v>61625983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23.963999999999999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ROUND(Y7*Source!I28,7)</f>
        <v>0</v>
      </c>
      <c r="CY7">
        <f>AA7</f>
        <v>104.64</v>
      </c>
      <c r="CZ7">
        <f>AE7</f>
        <v>79.88</v>
      </c>
      <c r="DA7">
        <f>AI7</f>
        <v>1.31</v>
      </c>
      <c r="DB7">
        <f>ROUND((ROUND(AT7*CZ7,2)*ROUND(0,7)),6)</f>
        <v>0</v>
      </c>
      <c r="DC7">
        <f>ROUND((ROUND(AT7*AG7,2)*ROUND(0,7)),6)</f>
        <v>0</v>
      </c>
      <c r="DD7" t="s">
        <v>3</v>
      </c>
      <c r="DE7" t="s">
        <v>3</v>
      </c>
      <c r="DF7">
        <f>ROUND(ROUND(AE7*AI7,2)*CX7,2)</f>
        <v>0</v>
      </c>
      <c r="DG7">
        <f t="shared" si="2"/>
        <v>0</v>
      </c>
      <c r="DH7">
        <f t="shared" si="0"/>
        <v>0</v>
      </c>
      <c r="DI7">
        <f t="shared" si="1"/>
        <v>0</v>
      </c>
      <c r="DJ7">
        <f>DF7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61625010</v>
      </c>
      <c r="C8">
        <v>61625135</v>
      </c>
      <c r="D8">
        <v>60463688</v>
      </c>
      <c r="E8">
        <v>110</v>
      </c>
      <c r="F8">
        <v>1</v>
      </c>
      <c r="G8">
        <v>1</v>
      </c>
      <c r="H8">
        <v>3</v>
      </c>
      <c r="I8" t="s">
        <v>286</v>
      </c>
      <c r="J8" t="s">
        <v>3</v>
      </c>
      <c r="K8" t="s">
        <v>287</v>
      </c>
      <c r="L8">
        <v>3277935</v>
      </c>
      <c r="N8">
        <v>1013</v>
      </c>
      <c r="O8" t="s">
        <v>288</v>
      </c>
      <c r="P8" t="s">
        <v>288</v>
      </c>
      <c r="Q8">
        <v>1</v>
      </c>
      <c r="W8">
        <v>0</v>
      </c>
      <c r="X8">
        <v>274903907</v>
      </c>
      <c r="Y8">
        <f>AT8</f>
        <v>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0</v>
      </c>
      <c r="AQ8">
        <v>1</v>
      </c>
      <c r="AR8">
        <v>0</v>
      </c>
      <c r="AS8" t="s">
        <v>3</v>
      </c>
      <c r="AT8">
        <v>2</v>
      </c>
      <c r="AU8" t="s">
        <v>3</v>
      </c>
      <c r="AV8">
        <v>0</v>
      </c>
      <c r="AW8">
        <v>2</v>
      </c>
      <c r="AX8">
        <v>61625984</v>
      </c>
      <c r="AY8">
        <v>1</v>
      </c>
      <c r="AZ8">
        <v>2048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ROUND(Y8*Source!I28,7)</f>
        <v>4</v>
      </c>
      <c r="CY8">
        <f>AA8</f>
        <v>0</v>
      </c>
      <c r="CZ8">
        <f>AE8</f>
        <v>0</v>
      </c>
      <c r="DA8">
        <f>AI8</f>
        <v>1</v>
      </c>
      <c r="DB8">
        <f>ROUND(ROUND(AT8*CZ8,2),6)</f>
        <v>0</v>
      </c>
      <c r="DC8">
        <f>ROUND(ROUND(AT8*AG8,2),6)</f>
        <v>0</v>
      </c>
      <c r="DD8" t="s">
        <v>3</v>
      </c>
      <c r="DE8" t="s">
        <v>3</v>
      </c>
      <c r="DF8">
        <f t="shared" ref="DF8:DF14" si="3">ROUND(ROUND(AE8,2)*CX8,2)</f>
        <v>0</v>
      </c>
      <c r="DG8">
        <f t="shared" si="2"/>
        <v>0</v>
      </c>
      <c r="DH8">
        <f t="shared" si="0"/>
        <v>0</v>
      </c>
      <c r="DI8">
        <f t="shared" si="1"/>
        <v>0</v>
      </c>
      <c r="DJ8">
        <f>DF8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ROW(Source!A29)</f>
        <v>29</v>
      </c>
      <c r="B9">
        <v>61625010</v>
      </c>
      <c r="C9">
        <v>61625949</v>
      </c>
      <c r="D9">
        <v>56217220</v>
      </c>
      <c r="E9">
        <v>108</v>
      </c>
      <c r="F9">
        <v>1</v>
      </c>
      <c r="G9">
        <v>1</v>
      </c>
      <c r="H9">
        <v>1</v>
      </c>
      <c r="I9" t="s">
        <v>262</v>
      </c>
      <c r="J9" t="s">
        <v>3</v>
      </c>
      <c r="K9" t="s">
        <v>263</v>
      </c>
      <c r="L9">
        <v>1191</v>
      </c>
      <c r="N9">
        <v>1013</v>
      </c>
      <c r="O9" t="s">
        <v>264</v>
      </c>
      <c r="P9" t="s">
        <v>264</v>
      </c>
      <c r="Q9">
        <v>1</v>
      </c>
      <c r="W9">
        <v>0</v>
      </c>
      <c r="X9">
        <v>-1111239348</v>
      </c>
      <c r="Y9">
        <f t="shared" ref="Y9:Y14" si="4">(AT9*ROUND(0.3,7))</f>
        <v>15.149999999999999</v>
      </c>
      <c r="AA9">
        <v>0</v>
      </c>
      <c r="AB9">
        <v>0</v>
      </c>
      <c r="AC9">
        <v>0</v>
      </c>
      <c r="AD9">
        <v>435.27</v>
      </c>
      <c r="AE9">
        <v>0</v>
      </c>
      <c r="AF9">
        <v>0</v>
      </c>
      <c r="AG9">
        <v>0</v>
      </c>
      <c r="AH9">
        <v>435.27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50.5</v>
      </c>
      <c r="AU9" t="s">
        <v>27</v>
      </c>
      <c r="AV9">
        <v>1</v>
      </c>
      <c r="AW9">
        <v>2</v>
      </c>
      <c r="AX9">
        <v>61625950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21981.134999999998</v>
      </c>
      <c r="BN9">
        <v>50.5</v>
      </c>
      <c r="BO9">
        <v>0</v>
      </c>
      <c r="BP9">
        <v>1</v>
      </c>
      <c r="BQ9">
        <v>0</v>
      </c>
      <c r="BR9">
        <v>0</v>
      </c>
      <c r="BS9">
        <v>0</v>
      </c>
      <c r="BT9">
        <v>6594.3404999999993</v>
      </c>
      <c r="BU9">
        <v>15.149999999999999</v>
      </c>
      <c r="BV9">
        <v>0</v>
      </c>
      <c r="BW9">
        <v>1</v>
      </c>
      <c r="CU9">
        <f>ROUND(AT9*Source!I29*AH9*AL9,2)</f>
        <v>1055.0899999999999</v>
      </c>
      <c r="CV9">
        <f>ROUND(Y9*Source!I29,7)</f>
        <v>0.72719999999999996</v>
      </c>
      <c r="CW9">
        <v>0</v>
      </c>
      <c r="CX9">
        <f>ROUND(Y9*Source!I29,7)</f>
        <v>0.72719999999999996</v>
      </c>
      <c r="CY9">
        <f>AD9</f>
        <v>435.27</v>
      </c>
      <c r="CZ9">
        <f>AH9</f>
        <v>435.27</v>
      </c>
      <c r="DA9">
        <f>AL9</f>
        <v>1</v>
      </c>
      <c r="DB9">
        <f t="shared" ref="DB9:DB14" si="5">ROUND((ROUND(AT9*CZ9,2)*ROUND(0.3,7)),6)</f>
        <v>6594.3419999999996</v>
      </c>
      <c r="DC9">
        <f t="shared" ref="DC9:DC14" si="6">ROUND((ROUND(AT9*AG9,2)*ROUND(0.3,7)),6)</f>
        <v>0</v>
      </c>
      <c r="DD9" t="s">
        <v>3</v>
      </c>
      <c r="DE9" t="s">
        <v>3</v>
      </c>
      <c r="DF9">
        <f t="shared" si="3"/>
        <v>0</v>
      </c>
      <c r="DG9">
        <f t="shared" si="2"/>
        <v>0</v>
      </c>
      <c r="DH9">
        <f t="shared" si="0"/>
        <v>0</v>
      </c>
      <c r="DI9">
        <f t="shared" si="1"/>
        <v>316.52999999999997</v>
      </c>
      <c r="DJ9">
        <f>DI9</f>
        <v>316.52999999999997</v>
      </c>
      <c r="DK9">
        <v>1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ROW(Source!A29)</f>
        <v>29</v>
      </c>
      <c r="B10">
        <v>61625010</v>
      </c>
      <c r="C10">
        <v>61625949</v>
      </c>
      <c r="D10">
        <v>56217458</v>
      </c>
      <c r="E10">
        <v>108</v>
      </c>
      <c r="F10">
        <v>1</v>
      </c>
      <c r="G10">
        <v>1</v>
      </c>
      <c r="H10">
        <v>1</v>
      </c>
      <c r="I10" t="s">
        <v>265</v>
      </c>
      <c r="J10" t="s">
        <v>3</v>
      </c>
      <c r="K10" t="s">
        <v>266</v>
      </c>
      <c r="L10">
        <v>1191</v>
      </c>
      <c r="N10">
        <v>1013</v>
      </c>
      <c r="O10" t="s">
        <v>264</v>
      </c>
      <c r="P10" t="s">
        <v>264</v>
      </c>
      <c r="Q10">
        <v>1</v>
      </c>
      <c r="W10">
        <v>0</v>
      </c>
      <c r="X10">
        <v>-1417349443</v>
      </c>
      <c r="Y10">
        <f t="shared" si="4"/>
        <v>1.899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6.33</v>
      </c>
      <c r="AU10" t="s">
        <v>27</v>
      </c>
      <c r="AV10">
        <v>2</v>
      </c>
      <c r="AW10">
        <v>2</v>
      </c>
      <c r="AX10">
        <v>61625951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ROUND(Y10*Source!I29,7)</f>
        <v>9.1151999999999997E-2</v>
      </c>
      <c r="CY10">
        <f>AD10</f>
        <v>0</v>
      </c>
      <c r="CZ10">
        <f>AH10</f>
        <v>0</v>
      </c>
      <c r="DA10">
        <f>AL10</f>
        <v>1</v>
      </c>
      <c r="DB10">
        <f t="shared" si="5"/>
        <v>0</v>
      </c>
      <c r="DC10">
        <f t="shared" si="6"/>
        <v>0</v>
      </c>
      <c r="DD10" t="s">
        <v>3</v>
      </c>
      <c r="DE10" t="s">
        <v>3</v>
      </c>
      <c r="DF10">
        <f t="shared" si="3"/>
        <v>0</v>
      </c>
      <c r="DG10">
        <f t="shared" si="2"/>
        <v>0</v>
      </c>
      <c r="DH10">
        <f t="shared" si="0"/>
        <v>0</v>
      </c>
      <c r="DI10">
        <f t="shared" si="1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ROW(Source!A29)</f>
        <v>29</v>
      </c>
      <c r="B11">
        <v>61625010</v>
      </c>
      <c r="C11">
        <v>61625949</v>
      </c>
      <c r="D11">
        <v>56571417</v>
      </c>
      <c r="E11">
        <v>1</v>
      </c>
      <c r="F11">
        <v>1</v>
      </c>
      <c r="G11">
        <v>1</v>
      </c>
      <c r="H11">
        <v>2</v>
      </c>
      <c r="I11" t="s">
        <v>267</v>
      </c>
      <c r="J11" t="s">
        <v>268</v>
      </c>
      <c r="K11" t="s">
        <v>269</v>
      </c>
      <c r="L11">
        <v>1368</v>
      </c>
      <c r="N11">
        <v>1011</v>
      </c>
      <c r="O11" t="s">
        <v>270</v>
      </c>
      <c r="P11" t="s">
        <v>270</v>
      </c>
      <c r="Q11">
        <v>1</v>
      </c>
      <c r="W11">
        <v>0</v>
      </c>
      <c r="X11">
        <v>-848025172</v>
      </c>
      <c r="Y11">
        <f t="shared" si="4"/>
        <v>0.06</v>
      </c>
      <c r="AA11">
        <v>0</v>
      </c>
      <c r="AB11">
        <v>1459.82</v>
      </c>
      <c r="AC11">
        <v>584.69000000000005</v>
      </c>
      <c r="AD11">
        <v>0</v>
      </c>
      <c r="AE11">
        <v>0</v>
      </c>
      <c r="AF11">
        <v>1459.82</v>
      </c>
      <c r="AG11">
        <v>584.69000000000005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0.2</v>
      </c>
      <c r="AU11" t="s">
        <v>27</v>
      </c>
      <c r="AV11">
        <v>1</v>
      </c>
      <c r="AW11">
        <v>2</v>
      </c>
      <c r="AX11">
        <v>61625952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291.964</v>
      </c>
      <c r="BL11">
        <v>116.93800000000002</v>
      </c>
      <c r="BM11">
        <v>0</v>
      </c>
      <c r="BN11">
        <v>0</v>
      </c>
      <c r="BO11">
        <v>0.2</v>
      </c>
      <c r="BP11">
        <v>1</v>
      </c>
      <c r="BQ11">
        <v>0</v>
      </c>
      <c r="BR11">
        <v>87.589199999999991</v>
      </c>
      <c r="BS11">
        <v>35.081400000000002</v>
      </c>
      <c r="BT11">
        <v>0</v>
      </c>
      <c r="BU11">
        <v>0</v>
      </c>
      <c r="BV11">
        <v>0.06</v>
      </c>
      <c r="BW11">
        <v>1</v>
      </c>
      <c r="CV11">
        <v>0</v>
      </c>
      <c r="CW11">
        <f>ROUND(Y11*Source!I29*DO11,7)</f>
        <v>2.8800000000000002E-3</v>
      </c>
      <c r="CX11">
        <f>ROUND(Y11*Source!I29,7)</f>
        <v>2.8800000000000002E-3</v>
      </c>
      <c r="CY11">
        <f>AB11</f>
        <v>1459.82</v>
      </c>
      <c r="CZ11">
        <f>AF11</f>
        <v>1459.82</v>
      </c>
      <c r="DA11">
        <f>AJ11</f>
        <v>1</v>
      </c>
      <c r="DB11">
        <f t="shared" si="5"/>
        <v>87.587999999999994</v>
      </c>
      <c r="DC11">
        <f t="shared" si="6"/>
        <v>35.082000000000001</v>
      </c>
      <c r="DD11" t="s">
        <v>3</v>
      </c>
      <c r="DE11" t="s">
        <v>3</v>
      </c>
      <c r="DF11">
        <f t="shared" si="3"/>
        <v>0</v>
      </c>
      <c r="DG11">
        <f t="shared" si="2"/>
        <v>4.2</v>
      </c>
      <c r="DH11">
        <f t="shared" si="0"/>
        <v>1.68</v>
      </c>
      <c r="DI11">
        <f t="shared" si="1"/>
        <v>0</v>
      </c>
      <c r="DJ11">
        <f>DG11+DH11</f>
        <v>5.88</v>
      </c>
      <c r="DK11">
        <v>1</v>
      </c>
      <c r="DL11" t="s">
        <v>271</v>
      </c>
      <c r="DM11">
        <v>6</v>
      </c>
      <c r="DN11" t="s">
        <v>264</v>
      </c>
      <c r="DO11">
        <v>1</v>
      </c>
    </row>
    <row r="12" spans="1:119" x14ac:dyDescent="0.2">
      <c r="A12">
        <f>ROW(Source!A29)</f>
        <v>29</v>
      </c>
      <c r="B12">
        <v>61625010</v>
      </c>
      <c r="C12">
        <v>61625949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272</v>
      </c>
      <c r="J12" t="s">
        <v>273</v>
      </c>
      <c r="K12" t="s">
        <v>274</v>
      </c>
      <c r="L12">
        <v>1368</v>
      </c>
      <c r="N12">
        <v>1011</v>
      </c>
      <c r="O12" t="s">
        <v>270</v>
      </c>
      <c r="P12" t="s">
        <v>270</v>
      </c>
      <c r="Q12">
        <v>1</v>
      </c>
      <c r="W12">
        <v>0</v>
      </c>
      <c r="X12">
        <v>1230426758</v>
      </c>
      <c r="Y12">
        <f t="shared" si="4"/>
        <v>0.06</v>
      </c>
      <c r="AA12">
        <v>0</v>
      </c>
      <c r="AB12">
        <v>568.72</v>
      </c>
      <c r="AC12">
        <v>435.27</v>
      </c>
      <c r="AD12">
        <v>0</v>
      </c>
      <c r="AE12">
        <v>0</v>
      </c>
      <c r="AF12">
        <v>477.92</v>
      </c>
      <c r="AG12">
        <v>435.27</v>
      </c>
      <c r="AH12">
        <v>0</v>
      </c>
      <c r="AI12">
        <v>1</v>
      </c>
      <c r="AJ12">
        <v>1.19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0.2</v>
      </c>
      <c r="AU12" t="s">
        <v>27</v>
      </c>
      <c r="AV12">
        <v>1</v>
      </c>
      <c r="AW12">
        <v>2</v>
      </c>
      <c r="AX12">
        <v>61625953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95.584000000000003</v>
      </c>
      <c r="BL12">
        <v>87.054000000000002</v>
      </c>
      <c r="BM12">
        <v>0</v>
      </c>
      <c r="BN12">
        <v>0</v>
      </c>
      <c r="BO12">
        <v>0.2</v>
      </c>
      <c r="BP12">
        <v>1</v>
      </c>
      <c r="BQ12">
        <v>0</v>
      </c>
      <c r="BR12">
        <v>28.6752</v>
      </c>
      <c r="BS12">
        <v>26.116199999999999</v>
      </c>
      <c r="BT12">
        <v>0</v>
      </c>
      <c r="BU12">
        <v>0</v>
      </c>
      <c r="BV12">
        <v>0.06</v>
      </c>
      <c r="BW12">
        <v>1</v>
      </c>
      <c r="CV12">
        <v>0</v>
      </c>
      <c r="CW12">
        <f>ROUND(Y12*Source!I29*DO12,7)</f>
        <v>2.8800000000000002E-3</v>
      </c>
      <c r="CX12">
        <f>ROUND(Y12*Source!I29,7)</f>
        <v>2.8800000000000002E-3</v>
      </c>
      <c r="CY12">
        <f>AB12</f>
        <v>568.72</v>
      </c>
      <c r="CZ12">
        <f>AF12</f>
        <v>477.92</v>
      </c>
      <c r="DA12">
        <f>AJ12</f>
        <v>1.19</v>
      </c>
      <c r="DB12">
        <f t="shared" si="5"/>
        <v>28.673999999999999</v>
      </c>
      <c r="DC12">
        <f t="shared" si="6"/>
        <v>26.114999999999998</v>
      </c>
      <c r="DD12" t="s">
        <v>3</v>
      </c>
      <c r="DE12" t="s">
        <v>3</v>
      </c>
      <c r="DF12">
        <f t="shared" si="3"/>
        <v>0</v>
      </c>
      <c r="DG12">
        <f>ROUND(ROUND(AF12*AJ12,2)*CX12,2)</f>
        <v>1.64</v>
      </c>
      <c r="DH12">
        <f t="shared" si="0"/>
        <v>1.25</v>
      </c>
      <c r="DI12">
        <f t="shared" si="1"/>
        <v>0</v>
      </c>
      <c r="DJ12">
        <f>DG12+DH12</f>
        <v>2.8899999999999997</v>
      </c>
      <c r="DK12">
        <v>1</v>
      </c>
      <c r="DL12" t="s">
        <v>275</v>
      </c>
      <c r="DM12">
        <v>4</v>
      </c>
      <c r="DN12" t="s">
        <v>264</v>
      </c>
      <c r="DO12">
        <v>1</v>
      </c>
    </row>
    <row r="13" spans="1:119" x14ac:dyDescent="0.2">
      <c r="A13">
        <f>ROW(Source!A29)</f>
        <v>29</v>
      </c>
      <c r="B13">
        <v>61625010</v>
      </c>
      <c r="C13">
        <v>61625949</v>
      </c>
      <c r="D13">
        <v>56573153</v>
      </c>
      <c r="E13">
        <v>1</v>
      </c>
      <c r="F13">
        <v>1</v>
      </c>
      <c r="G13">
        <v>1</v>
      </c>
      <c r="H13">
        <v>2</v>
      </c>
      <c r="I13" t="s">
        <v>289</v>
      </c>
      <c r="J13" t="s">
        <v>290</v>
      </c>
      <c r="K13" t="s">
        <v>291</v>
      </c>
      <c r="L13">
        <v>1368</v>
      </c>
      <c r="N13">
        <v>1011</v>
      </c>
      <c r="O13" t="s">
        <v>270</v>
      </c>
      <c r="P13" t="s">
        <v>270</v>
      </c>
      <c r="Q13">
        <v>1</v>
      </c>
      <c r="W13">
        <v>0</v>
      </c>
      <c r="X13">
        <v>1280601743</v>
      </c>
      <c r="Y13">
        <f t="shared" si="4"/>
        <v>1.875</v>
      </c>
      <c r="AA13">
        <v>0</v>
      </c>
      <c r="AB13">
        <v>25.86</v>
      </c>
      <c r="AC13">
        <v>0</v>
      </c>
      <c r="AD13">
        <v>0</v>
      </c>
      <c r="AE13">
        <v>0</v>
      </c>
      <c r="AF13">
        <v>25.86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6.25</v>
      </c>
      <c r="AU13" t="s">
        <v>27</v>
      </c>
      <c r="AV13">
        <v>1</v>
      </c>
      <c r="AW13">
        <v>2</v>
      </c>
      <c r="AX13">
        <v>61625954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161.625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48.487499999999997</v>
      </c>
      <c r="BS13">
        <v>0</v>
      </c>
      <c r="BT13">
        <v>0</v>
      </c>
      <c r="BU13">
        <v>0</v>
      </c>
      <c r="BV13">
        <v>0</v>
      </c>
      <c r="BW13">
        <v>1</v>
      </c>
      <c r="CV13">
        <v>0</v>
      </c>
      <c r="CW13">
        <f>ROUND(Y13*Source!I29*DO13,7)</f>
        <v>0</v>
      </c>
      <c r="CX13">
        <f>ROUND(Y13*Source!I29,7)</f>
        <v>0.09</v>
      </c>
      <c r="CY13">
        <f>AB13</f>
        <v>25.86</v>
      </c>
      <c r="CZ13">
        <f>AF13</f>
        <v>25.86</v>
      </c>
      <c r="DA13">
        <f>AJ13</f>
        <v>1</v>
      </c>
      <c r="DB13">
        <f t="shared" si="5"/>
        <v>48.488999999999997</v>
      </c>
      <c r="DC13">
        <f t="shared" si="6"/>
        <v>0</v>
      </c>
      <c r="DD13" t="s">
        <v>3</v>
      </c>
      <c r="DE13" t="s">
        <v>3</v>
      </c>
      <c r="DF13">
        <f t="shared" si="3"/>
        <v>0</v>
      </c>
      <c r="DG13">
        <f>ROUND(ROUND(AF13,2)*CX13,2)</f>
        <v>2.33</v>
      </c>
      <c r="DH13">
        <f t="shared" si="0"/>
        <v>0</v>
      </c>
      <c r="DI13">
        <f t="shared" si="1"/>
        <v>0</v>
      </c>
      <c r="DJ13">
        <f>DG13+DH13</f>
        <v>2.33</v>
      </c>
      <c r="DK13">
        <v>1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61625010</v>
      </c>
      <c r="C14">
        <v>61625949</v>
      </c>
      <c r="D14">
        <v>56574037</v>
      </c>
      <c r="E14">
        <v>1</v>
      </c>
      <c r="F14">
        <v>1</v>
      </c>
      <c r="G14">
        <v>1</v>
      </c>
      <c r="H14">
        <v>2</v>
      </c>
      <c r="I14" t="s">
        <v>292</v>
      </c>
      <c r="J14" t="s">
        <v>293</v>
      </c>
      <c r="K14" t="s">
        <v>294</v>
      </c>
      <c r="L14">
        <v>1368</v>
      </c>
      <c r="N14">
        <v>1011</v>
      </c>
      <c r="O14" t="s">
        <v>270</v>
      </c>
      <c r="P14" t="s">
        <v>270</v>
      </c>
      <c r="Q14">
        <v>1</v>
      </c>
      <c r="W14">
        <v>0</v>
      </c>
      <c r="X14">
        <v>1129409978</v>
      </c>
      <c r="Y14">
        <f t="shared" si="4"/>
        <v>1.7789999999999999</v>
      </c>
      <c r="AA14">
        <v>0</v>
      </c>
      <c r="AB14">
        <v>32.11</v>
      </c>
      <c r="AC14">
        <v>435.27</v>
      </c>
      <c r="AD14">
        <v>0</v>
      </c>
      <c r="AE14">
        <v>0</v>
      </c>
      <c r="AF14">
        <v>26.76</v>
      </c>
      <c r="AG14">
        <v>435.27</v>
      </c>
      <c r="AH14">
        <v>0</v>
      </c>
      <c r="AI14">
        <v>1</v>
      </c>
      <c r="AJ14">
        <v>1.2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5.93</v>
      </c>
      <c r="AU14" t="s">
        <v>27</v>
      </c>
      <c r="AV14">
        <v>1</v>
      </c>
      <c r="AW14">
        <v>2</v>
      </c>
      <c r="AX14">
        <v>61625955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158.68680000000001</v>
      </c>
      <c r="BL14">
        <v>2581.1510999999996</v>
      </c>
      <c r="BM14">
        <v>0</v>
      </c>
      <c r="BN14">
        <v>0</v>
      </c>
      <c r="BO14">
        <v>5.93</v>
      </c>
      <c r="BP14">
        <v>1</v>
      </c>
      <c r="BQ14">
        <v>0</v>
      </c>
      <c r="BR14">
        <v>47.60604</v>
      </c>
      <c r="BS14">
        <v>774.34532999999988</v>
      </c>
      <c r="BT14">
        <v>0</v>
      </c>
      <c r="BU14">
        <v>0</v>
      </c>
      <c r="BV14">
        <v>1.7789999999999999</v>
      </c>
      <c r="BW14">
        <v>1</v>
      </c>
      <c r="CV14">
        <v>0</v>
      </c>
      <c r="CW14">
        <f>ROUND(Y14*Source!I29*DO14,7)</f>
        <v>8.5391999999999996E-2</v>
      </c>
      <c r="CX14">
        <f>ROUND(Y14*Source!I29,7)</f>
        <v>8.5391999999999996E-2</v>
      </c>
      <c r="CY14">
        <f>AB14</f>
        <v>32.11</v>
      </c>
      <c r="CZ14">
        <f>AF14</f>
        <v>26.76</v>
      </c>
      <c r="DA14">
        <f>AJ14</f>
        <v>1.2</v>
      </c>
      <c r="DB14">
        <f t="shared" si="5"/>
        <v>47.606999999999999</v>
      </c>
      <c r="DC14">
        <f t="shared" si="6"/>
        <v>774.34500000000003</v>
      </c>
      <c r="DD14" t="s">
        <v>3</v>
      </c>
      <c r="DE14" t="s">
        <v>3</v>
      </c>
      <c r="DF14">
        <f t="shared" si="3"/>
        <v>0</v>
      </c>
      <c r="DG14">
        <f>ROUND(ROUND(AF14*AJ14,2)*CX14,2)</f>
        <v>2.74</v>
      </c>
      <c r="DH14">
        <f t="shared" si="0"/>
        <v>37.17</v>
      </c>
      <c r="DI14">
        <f t="shared" si="1"/>
        <v>0</v>
      </c>
      <c r="DJ14">
        <f>DG14+DH14</f>
        <v>39.910000000000004</v>
      </c>
      <c r="DK14">
        <v>1</v>
      </c>
      <c r="DL14" t="s">
        <v>275</v>
      </c>
      <c r="DM14">
        <v>4</v>
      </c>
      <c r="DN14" t="s">
        <v>264</v>
      </c>
      <c r="DO14">
        <v>1</v>
      </c>
    </row>
    <row r="15" spans="1:119" x14ac:dyDescent="0.2">
      <c r="A15">
        <f>ROW(Source!A29)</f>
        <v>29</v>
      </c>
      <c r="B15">
        <v>61625010</v>
      </c>
      <c r="C15">
        <v>61625949</v>
      </c>
      <c r="D15">
        <v>56574881</v>
      </c>
      <c r="E15">
        <v>1</v>
      </c>
      <c r="F15">
        <v>1</v>
      </c>
      <c r="G15">
        <v>1</v>
      </c>
      <c r="H15">
        <v>3</v>
      </c>
      <c r="I15" t="s">
        <v>295</v>
      </c>
      <c r="J15" t="s">
        <v>296</v>
      </c>
      <c r="K15" t="s">
        <v>297</v>
      </c>
      <c r="L15">
        <v>1339</v>
      </c>
      <c r="N15">
        <v>1007</v>
      </c>
      <c r="O15" t="s">
        <v>298</v>
      </c>
      <c r="P15" t="s">
        <v>298</v>
      </c>
      <c r="Q15">
        <v>1</v>
      </c>
      <c r="W15">
        <v>0</v>
      </c>
      <c r="X15">
        <v>641095785</v>
      </c>
      <c r="Y15">
        <f>(AT15*ROUND(0,7))</f>
        <v>0</v>
      </c>
      <c r="AA15">
        <v>259.04000000000002</v>
      </c>
      <c r="AB15">
        <v>0</v>
      </c>
      <c r="AC15">
        <v>0</v>
      </c>
      <c r="AD15">
        <v>0</v>
      </c>
      <c r="AE15">
        <v>253.96</v>
      </c>
      <c r="AF15">
        <v>0</v>
      </c>
      <c r="AG15">
        <v>0</v>
      </c>
      <c r="AH15">
        <v>0</v>
      </c>
      <c r="AI15">
        <v>1.02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0.44</v>
      </c>
      <c r="AU15" t="s">
        <v>26</v>
      </c>
      <c r="AV15">
        <v>0</v>
      </c>
      <c r="AW15">
        <v>2</v>
      </c>
      <c r="AX15">
        <v>61625956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111.7424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ROUND(Y15*Source!I29,7)</f>
        <v>0</v>
      </c>
      <c r="CY15">
        <f t="shared" ref="CY15:CY20" si="7">AA15</f>
        <v>259.04000000000002</v>
      </c>
      <c r="CZ15">
        <f t="shared" ref="CZ15:CZ20" si="8">AE15</f>
        <v>253.96</v>
      </c>
      <c r="DA15">
        <f t="shared" ref="DA15:DA20" si="9">AI15</f>
        <v>1.02</v>
      </c>
      <c r="DB15">
        <f>ROUND((ROUND(AT15*CZ15,2)*ROUND(0,7)),6)</f>
        <v>0</v>
      </c>
      <c r="DC15">
        <f>ROUND((ROUND(AT15*AG15,2)*ROUND(0,7)),6)</f>
        <v>0</v>
      </c>
      <c r="DD15" t="s">
        <v>3</v>
      </c>
      <c r="DE15" t="s">
        <v>3</v>
      </c>
      <c r="DF15">
        <f>ROUND(ROUND(AE15*AI15,2)*CX15,2)</f>
        <v>0</v>
      </c>
      <c r="DG15">
        <f t="shared" ref="DG15:DG23" si="10">ROUND(ROUND(AF15,2)*CX15,2)</f>
        <v>0</v>
      </c>
      <c r="DH15">
        <f t="shared" si="0"/>
        <v>0</v>
      </c>
      <c r="DI15">
        <f t="shared" si="1"/>
        <v>0</v>
      </c>
      <c r="DJ15">
        <f t="shared" ref="DJ15:DJ20" si="11">DF15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ROW(Source!A29)</f>
        <v>29</v>
      </c>
      <c r="B16">
        <v>61625010</v>
      </c>
      <c r="C16">
        <v>61625949</v>
      </c>
      <c r="D16">
        <v>56579266</v>
      </c>
      <c r="E16">
        <v>1</v>
      </c>
      <c r="F16">
        <v>1</v>
      </c>
      <c r="G16">
        <v>1</v>
      </c>
      <c r="H16">
        <v>3</v>
      </c>
      <c r="I16" t="s">
        <v>299</v>
      </c>
      <c r="J16" t="s">
        <v>300</v>
      </c>
      <c r="K16" t="s">
        <v>301</v>
      </c>
      <c r="L16">
        <v>1346</v>
      </c>
      <c r="N16">
        <v>1009</v>
      </c>
      <c r="O16" t="s">
        <v>106</v>
      </c>
      <c r="P16" t="s">
        <v>106</v>
      </c>
      <c r="Q16">
        <v>1</v>
      </c>
      <c r="W16">
        <v>0</v>
      </c>
      <c r="X16">
        <v>-1545686836</v>
      </c>
      <c r="Y16">
        <f>(AT16*ROUND(0,7))</f>
        <v>0</v>
      </c>
      <c r="AA16">
        <v>147.85</v>
      </c>
      <c r="AB16">
        <v>0</v>
      </c>
      <c r="AC16">
        <v>0</v>
      </c>
      <c r="AD16">
        <v>0</v>
      </c>
      <c r="AE16">
        <v>155.63</v>
      </c>
      <c r="AF16">
        <v>0</v>
      </c>
      <c r="AG16">
        <v>0</v>
      </c>
      <c r="AH16">
        <v>0</v>
      </c>
      <c r="AI16">
        <v>0.95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0.03</v>
      </c>
      <c r="AU16" t="s">
        <v>26</v>
      </c>
      <c r="AV16">
        <v>0</v>
      </c>
      <c r="AW16">
        <v>2</v>
      </c>
      <c r="AX16">
        <v>61625957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4.6688999999999998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ROUND(Y16*Source!I29,7)</f>
        <v>0</v>
      </c>
      <c r="CY16">
        <f t="shared" si="7"/>
        <v>147.85</v>
      </c>
      <c r="CZ16">
        <f t="shared" si="8"/>
        <v>155.63</v>
      </c>
      <c r="DA16">
        <f t="shared" si="9"/>
        <v>0.95</v>
      </c>
      <c r="DB16">
        <f>ROUND((ROUND(AT16*CZ16,2)*ROUND(0,7)),6)</f>
        <v>0</v>
      </c>
      <c r="DC16">
        <f>ROUND((ROUND(AT16*AG16,2)*ROUND(0,7)),6)</f>
        <v>0</v>
      </c>
      <c r="DD16" t="s">
        <v>3</v>
      </c>
      <c r="DE16" t="s">
        <v>3</v>
      </c>
      <c r="DF16">
        <f>ROUND(ROUND(AE16*AI16,2)*CX16,2)</f>
        <v>0</v>
      </c>
      <c r="DG16">
        <f t="shared" si="10"/>
        <v>0</v>
      </c>
      <c r="DH16">
        <f t="shared" si="0"/>
        <v>0</v>
      </c>
      <c r="DI16">
        <f t="shared" si="1"/>
        <v>0</v>
      </c>
      <c r="DJ16">
        <f t="shared" si="11"/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ROW(Source!A29)</f>
        <v>29</v>
      </c>
      <c r="B17">
        <v>61625010</v>
      </c>
      <c r="C17">
        <v>61625949</v>
      </c>
      <c r="D17">
        <v>56594690</v>
      </c>
      <c r="E17">
        <v>1</v>
      </c>
      <c r="F17">
        <v>1</v>
      </c>
      <c r="G17">
        <v>1</v>
      </c>
      <c r="H17">
        <v>3</v>
      </c>
      <c r="I17" t="s">
        <v>302</v>
      </c>
      <c r="J17" t="s">
        <v>303</v>
      </c>
      <c r="K17" t="s">
        <v>304</v>
      </c>
      <c r="L17">
        <v>1348</v>
      </c>
      <c r="N17">
        <v>1009</v>
      </c>
      <c r="O17" t="s">
        <v>282</v>
      </c>
      <c r="P17" t="s">
        <v>282</v>
      </c>
      <c r="Q17">
        <v>1000</v>
      </c>
      <c r="W17">
        <v>0</v>
      </c>
      <c r="X17">
        <v>365157045</v>
      </c>
      <c r="Y17">
        <f>(AT17*ROUND(0,7))</f>
        <v>0</v>
      </c>
      <c r="AA17">
        <v>553469.98</v>
      </c>
      <c r="AB17">
        <v>0</v>
      </c>
      <c r="AC17">
        <v>0</v>
      </c>
      <c r="AD17">
        <v>0</v>
      </c>
      <c r="AE17">
        <v>709576.9</v>
      </c>
      <c r="AF17">
        <v>0</v>
      </c>
      <c r="AG17">
        <v>0</v>
      </c>
      <c r="AH17">
        <v>0</v>
      </c>
      <c r="AI17">
        <v>0.78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1.2999999999999999E-4</v>
      </c>
      <c r="AU17" t="s">
        <v>26</v>
      </c>
      <c r="AV17">
        <v>0</v>
      </c>
      <c r="AW17">
        <v>2</v>
      </c>
      <c r="AX17">
        <v>61625958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92.244996999999998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ROUND(Y17*Source!I29,7)</f>
        <v>0</v>
      </c>
      <c r="CY17">
        <f t="shared" si="7"/>
        <v>553469.98</v>
      </c>
      <c r="CZ17">
        <f t="shared" si="8"/>
        <v>709576.9</v>
      </c>
      <c r="DA17">
        <f t="shared" si="9"/>
        <v>0.78</v>
      </c>
      <c r="DB17">
        <f>ROUND((ROUND(AT17*CZ17,2)*ROUND(0,7)),6)</f>
        <v>0</v>
      </c>
      <c r="DC17">
        <f>ROUND((ROUND(AT17*AG17,2)*ROUND(0,7)),6)</f>
        <v>0</v>
      </c>
      <c r="DD17" t="s">
        <v>3</v>
      </c>
      <c r="DE17" t="s">
        <v>3</v>
      </c>
      <c r="DF17">
        <f>ROUND(ROUND(AE17*AI17,2)*CX17,2)</f>
        <v>0</v>
      </c>
      <c r="DG17">
        <f t="shared" si="10"/>
        <v>0</v>
      </c>
      <c r="DH17">
        <f t="shared" si="0"/>
        <v>0</v>
      </c>
      <c r="DI17">
        <f t="shared" si="1"/>
        <v>0</v>
      </c>
      <c r="DJ17">
        <f t="shared" si="11"/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ROW(Source!A29)</f>
        <v>29</v>
      </c>
      <c r="B18">
        <v>61625010</v>
      </c>
      <c r="C18">
        <v>61625949</v>
      </c>
      <c r="D18">
        <v>56595160</v>
      </c>
      <c r="E18">
        <v>1</v>
      </c>
      <c r="F18">
        <v>1</v>
      </c>
      <c r="G18">
        <v>1</v>
      </c>
      <c r="H18">
        <v>3</v>
      </c>
      <c r="I18" t="s">
        <v>305</v>
      </c>
      <c r="J18" t="s">
        <v>306</v>
      </c>
      <c r="K18" t="s">
        <v>307</v>
      </c>
      <c r="L18">
        <v>1348</v>
      </c>
      <c r="N18">
        <v>1009</v>
      </c>
      <c r="O18" t="s">
        <v>282</v>
      </c>
      <c r="P18" t="s">
        <v>282</v>
      </c>
      <c r="Q18">
        <v>1000</v>
      </c>
      <c r="W18">
        <v>0</v>
      </c>
      <c r="X18">
        <v>1216194673</v>
      </c>
      <c r="Y18">
        <f>(AT18*ROUND(0,7))</f>
        <v>0</v>
      </c>
      <c r="AA18">
        <v>737212.26</v>
      </c>
      <c r="AB18">
        <v>0</v>
      </c>
      <c r="AC18">
        <v>0</v>
      </c>
      <c r="AD18">
        <v>0</v>
      </c>
      <c r="AE18">
        <v>945143.92</v>
      </c>
      <c r="AF18">
        <v>0</v>
      </c>
      <c r="AG18">
        <v>0</v>
      </c>
      <c r="AH18">
        <v>0</v>
      </c>
      <c r="AI18">
        <v>0.78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1.8000000000000001E-4</v>
      </c>
      <c r="AU18" t="s">
        <v>26</v>
      </c>
      <c r="AV18">
        <v>0</v>
      </c>
      <c r="AW18">
        <v>2</v>
      </c>
      <c r="AX18">
        <v>61625959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170.12590560000001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ROUND(Y18*Source!I29,7)</f>
        <v>0</v>
      </c>
      <c r="CY18">
        <f t="shared" si="7"/>
        <v>737212.26</v>
      </c>
      <c r="CZ18">
        <f t="shared" si="8"/>
        <v>945143.92</v>
      </c>
      <c r="DA18">
        <f t="shared" si="9"/>
        <v>0.78</v>
      </c>
      <c r="DB18">
        <f>ROUND((ROUND(AT18*CZ18,2)*ROUND(0,7)),6)</f>
        <v>0</v>
      </c>
      <c r="DC18">
        <f>ROUND((ROUND(AT18*AG18,2)*ROUND(0,7)),6)</f>
        <v>0</v>
      </c>
      <c r="DD18" t="s">
        <v>3</v>
      </c>
      <c r="DE18" t="s">
        <v>3</v>
      </c>
      <c r="DF18">
        <f>ROUND(ROUND(AE18*AI18,2)*CX18,2)</f>
        <v>0</v>
      </c>
      <c r="DG18">
        <f t="shared" si="10"/>
        <v>0</v>
      </c>
      <c r="DH18">
        <f t="shared" si="0"/>
        <v>0</v>
      </c>
      <c r="DI18">
        <f t="shared" si="1"/>
        <v>0</v>
      </c>
      <c r="DJ18">
        <f t="shared" si="11"/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ROW(Source!A29)</f>
        <v>29</v>
      </c>
      <c r="B19">
        <v>61625010</v>
      </c>
      <c r="C19">
        <v>61625949</v>
      </c>
      <c r="D19">
        <v>56610084</v>
      </c>
      <c r="E19">
        <v>1</v>
      </c>
      <c r="F19">
        <v>1</v>
      </c>
      <c r="G19">
        <v>1</v>
      </c>
      <c r="H19">
        <v>3</v>
      </c>
      <c r="I19" t="s">
        <v>283</v>
      </c>
      <c r="J19" t="s">
        <v>284</v>
      </c>
      <c r="K19" t="s">
        <v>285</v>
      </c>
      <c r="L19">
        <v>1346</v>
      </c>
      <c r="N19">
        <v>1009</v>
      </c>
      <c r="O19" t="s">
        <v>106</v>
      </c>
      <c r="P19" t="s">
        <v>106</v>
      </c>
      <c r="Q19">
        <v>1</v>
      </c>
      <c r="W19">
        <v>0</v>
      </c>
      <c r="X19">
        <v>50985725</v>
      </c>
      <c r="Y19">
        <f>(AT19*ROUND(0,7))</f>
        <v>0</v>
      </c>
      <c r="AA19">
        <v>104.64</v>
      </c>
      <c r="AB19">
        <v>0</v>
      </c>
      <c r="AC19">
        <v>0</v>
      </c>
      <c r="AD19">
        <v>0</v>
      </c>
      <c r="AE19">
        <v>79.88</v>
      </c>
      <c r="AF19">
        <v>0</v>
      </c>
      <c r="AG19">
        <v>0</v>
      </c>
      <c r="AH19">
        <v>0</v>
      </c>
      <c r="AI19">
        <v>1.31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1.36</v>
      </c>
      <c r="AU19" t="s">
        <v>26</v>
      </c>
      <c r="AV19">
        <v>0</v>
      </c>
      <c r="AW19">
        <v>2</v>
      </c>
      <c r="AX19">
        <v>61625960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108.63680000000001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ROUND(Y19*Source!I29,7)</f>
        <v>0</v>
      </c>
      <c r="CY19">
        <f t="shared" si="7"/>
        <v>104.64</v>
      </c>
      <c r="CZ19">
        <f t="shared" si="8"/>
        <v>79.88</v>
      </c>
      <c r="DA19">
        <f t="shared" si="9"/>
        <v>1.31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ROUND(ROUND(AE19*AI19,2)*CX19,2)</f>
        <v>0</v>
      </c>
      <c r="DG19">
        <f t="shared" si="10"/>
        <v>0</v>
      </c>
      <c r="DH19">
        <f t="shared" si="0"/>
        <v>0</v>
      </c>
      <c r="DI19">
        <f t="shared" si="1"/>
        <v>0</v>
      </c>
      <c r="DJ19">
        <f t="shared" si="11"/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ROW(Source!A29)</f>
        <v>29</v>
      </c>
      <c r="B20">
        <v>61625010</v>
      </c>
      <c r="C20">
        <v>61625949</v>
      </c>
      <c r="D20">
        <v>56223463</v>
      </c>
      <c r="E20">
        <v>108</v>
      </c>
      <c r="F20">
        <v>1</v>
      </c>
      <c r="G20">
        <v>1</v>
      </c>
      <c r="H20">
        <v>3</v>
      </c>
      <c r="I20" t="s">
        <v>286</v>
      </c>
      <c r="J20" t="s">
        <v>3</v>
      </c>
      <c r="K20" t="s">
        <v>287</v>
      </c>
      <c r="L20">
        <v>3277935</v>
      </c>
      <c r="N20">
        <v>1013</v>
      </c>
      <c r="O20" t="s">
        <v>288</v>
      </c>
      <c r="P20" t="s">
        <v>288</v>
      </c>
      <c r="Q20">
        <v>1</v>
      </c>
      <c r="W20">
        <v>0</v>
      </c>
      <c r="X20">
        <v>274903907</v>
      </c>
      <c r="Y20">
        <f t="shared" ref="Y20:Y67" si="12">AT20</f>
        <v>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0</v>
      </c>
      <c r="AP20">
        <v>0</v>
      </c>
      <c r="AQ20">
        <v>1</v>
      </c>
      <c r="AR20">
        <v>0</v>
      </c>
      <c r="AS20" t="s">
        <v>3</v>
      </c>
      <c r="AT20">
        <v>2</v>
      </c>
      <c r="AU20" t="s">
        <v>3</v>
      </c>
      <c r="AV20">
        <v>0</v>
      </c>
      <c r="AW20">
        <v>2</v>
      </c>
      <c r="AX20">
        <v>61625961</v>
      </c>
      <c r="AY20">
        <v>1</v>
      </c>
      <c r="AZ20">
        <v>2048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ROUND(Y20*Source!I29,7)</f>
        <v>9.6000000000000002E-2</v>
      </c>
      <c r="CY20">
        <f t="shared" si="7"/>
        <v>0</v>
      </c>
      <c r="CZ20">
        <f t="shared" si="8"/>
        <v>0</v>
      </c>
      <c r="DA20">
        <f t="shared" si="9"/>
        <v>1</v>
      </c>
      <c r="DB20">
        <f t="shared" ref="DB20:DB67" si="13">ROUND(ROUND(AT20*CZ20,2),6)</f>
        <v>0</v>
      </c>
      <c r="DC20">
        <f t="shared" ref="DC20:DC67" si="14">ROUND(ROUND(AT20*AG20,2),6)</f>
        <v>0</v>
      </c>
      <c r="DD20" t="s">
        <v>3</v>
      </c>
      <c r="DE20" t="s">
        <v>3</v>
      </c>
      <c r="DF20">
        <f>ROUND(ROUND(AE20,2)*CX20,2)</f>
        <v>0</v>
      </c>
      <c r="DG20">
        <f t="shared" si="10"/>
        <v>0</v>
      </c>
      <c r="DH20">
        <f t="shared" si="0"/>
        <v>0</v>
      </c>
      <c r="DI20">
        <f t="shared" si="1"/>
        <v>0</v>
      </c>
      <c r="DJ20">
        <f t="shared" si="11"/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ROW(Source!A65)</f>
        <v>65</v>
      </c>
      <c r="B21">
        <v>61625010</v>
      </c>
      <c r="C21">
        <v>61625410</v>
      </c>
      <c r="D21">
        <v>37071037</v>
      </c>
      <c r="E21">
        <v>108</v>
      </c>
      <c r="F21">
        <v>1</v>
      </c>
      <c r="G21">
        <v>1</v>
      </c>
      <c r="H21">
        <v>1</v>
      </c>
      <c r="I21" t="s">
        <v>262</v>
      </c>
      <c r="J21" t="s">
        <v>3</v>
      </c>
      <c r="K21" t="s">
        <v>263</v>
      </c>
      <c r="L21">
        <v>1191</v>
      </c>
      <c r="N21">
        <v>1013</v>
      </c>
      <c r="O21" t="s">
        <v>264</v>
      </c>
      <c r="P21" t="s">
        <v>264</v>
      </c>
      <c r="Q21">
        <v>1</v>
      </c>
      <c r="W21">
        <v>0</v>
      </c>
      <c r="X21">
        <v>-1111239348</v>
      </c>
      <c r="Y21">
        <f t="shared" si="12"/>
        <v>22.7</v>
      </c>
      <c r="AA21">
        <v>0</v>
      </c>
      <c r="AB21">
        <v>0</v>
      </c>
      <c r="AC21">
        <v>0</v>
      </c>
      <c r="AD21">
        <v>435.27</v>
      </c>
      <c r="AE21">
        <v>0</v>
      </c>
      <c r="AF21">
        <v>0</v>
      </c>
      <c r="AG21">
        <v>0</v>
      </c>
      <c r="AH21">
        <v>435.27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22.7</v>
      </c>
      <c r="AU21" t="s">
        <v>3</v>
      </c>
      <c r="AV21">
        <v>1</v>
      </c>
      <c r="AW21">
        <v>2</v>
      </c>
      <c r="AX21">
        <v>61625418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9880.628999999999</v>
      </c>
      <c r="BN21">
        <v>22.7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9880.628999999999</v>
      </c>
      <c r="BU21">
        <v>22.7</v>
      </c>
      <c r="BV21">
        <v>0</v>
      </c>
      <c r="BW21">
        <v>1</v>
      </c>
      <c r="CU21">
        <f>ROUND(AT21*Source!I65*AH21*AL21,2)</f>
        <v>19761.259999999998</v>
      </c>
      <c r="CV21">
        <f>ROUND(Y21*Source!I65,7)</f>
        <v>45.4</v>
      </c>
      <c r="CW21">
        <v>0</v>
      </c>
      <c r="CX21">
        <f>ROUND(Y21*Source!I65,7)</f>
        <v>45.4</v>
      </c>
      <c r="CY21">
        <f>AD21</f>
        <v>435.27</v>
      </c>
      <c r="CZ21">
        <f>AH21</f>
        <v>435.27</v>
      </c>
      <c r="DA21">
        <f>AL21</f>
        <v>1</v>
      </c>
      <c r="DB21">
        <f t="shared" si="13"/>
        <v>9880.6299999999992</v>
      </c>
      <c r="DC21">
        <f t="shared" si="14"/>
        <v>0</v>
      </c>
      <c r="DD21" t="s">
        <v>3</v>
      </c>
      <c r="DE21" t="s">
        <v>3</v>
      </c>
      <c r="DF21">
        <f>ROUND(ROUND(AE21,2)*CX21,2)</f>
        <v>0</v>
      </c>
      <c r="DG21">
        <f t="shared" si="10"/>
        <v>0</v>
      </c>
      <c r="DH21">
        <f t="shared" si="0"/>
        <v>0</v>
      </c>
      <c r="DI21">
        <f t="shared" si="1"/>
        <v>19761.259999999998</v>
      </c>
      <c r="DJ21">
        <f>DI21</f>
        <v>19761.259999999998</v>
      </c>
      <c r="DK21">
        <v>1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ROW(Source!A65)</f>
        <v>65</v>
      </c>
      <c r="B22">
        <v>61625010</v>
      </c>
      <c r="C22">
        <v>61625410</v>
      </c>
      <c r="D22">
        <v>37064876</v>
      </c>
      <c r="E22">
        <v>108</v>
      </c>
      <c r="F22">
        <v>1</v>
      </c>
      <c r="G22">
        <v>1</v>
      </c>
      <c r="H22">
        <v>1</v>
      </c>
      <c r="I22" t="s">
        <v>265</v>
      </c>
      <c r="J22" t="s">
        <v>3</v>
      </c>
      <c r="K22" t="s">
        <v>266</v>
      </c>
      <c r="L22">
        <v>1191</v>
      </c>
      <c r="N22">
        <v>1013</v>
      </c>
      <c r="O22" t="s">
        <v>264</v>
      </c>
      <c r="P22" t="s">
        <v>264</v>
      </c>
      <c r="Q22">
        <v>1</v>
      </c>
      <c r="W22">
        <v>0</v>
      </c>
      <c r="X22">
        <v>-1417349443</v>
      </c>
      <c r="Y22">
        <f t="shared" si="12"/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2</v>
      </c>
      <c r="AW22">
        <v>2</v>
      </c>
      <c r="AX22">
        <v>61625419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ROUND(Y22*Source!I65,7)</f>
        <v>4</v>
      </c>
      <c r="CY22">
        <f>AD22</f>
        <v>0</v>
      </c>
      <c r="CZ22">
        <f>AH22</f>
        <v>0</v>
      </c>
      <c r="DA22">
        <f>AL22</f>
        <v>1</v>
      </c>
      <c r="DB22">
        <f t="shared" si="13"/>
        <v>0</v>
      </c>
      <c r="DC22">
        <f t="shared" si="14"/>
        <v>0</v>
      </c>
      <c r="DD22" t="s">
        <v>3</v>
      </c>
      <c r="DE22" t="s">
        <v>3</v>
      </c>
      <c r="DF22">
        <f>ROUND(ROUND(AE22,2)*CX22,2)</f>
        <v>0</v>
      </c>
      <c r="DG22">
        <f t="shared" si="10"/>
        <v>0</v>
      </c>
      <c r="DH22">
        <f t="shared" si="0"/>
        <v>0</v>
      </c>
      <c r="DI22">
        <f t="shared" si="1"/>
        <v>0</v>
      </c>
      <c r="DJ22">
        <f>DI22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ROW(Source!A65)</f>
        <v>65</v>
      </c>
      <c r="B23">
        <v>61625010</v>
      </c>
      <c r="C23">
        <v>61625410</v>
      </c>
      <c r="D23">
        <v>56571417</v>
      </c>
      <c r="E23">
        <v>1</v>
      </c>
      <c r="F23">
        <v>1</v>
      </c>
      <c r="G23">
        <v>1</v>
      </c>
      <c r="H23">
        <v>2</v>
      </c>
      <c r="I23" t="s">
        <v>267</v>
      </c>
      <c r="J23" t="s">
        <v>268</v>
      </c>
      <c r="K23" t="s">
        <v>269</v>
      </c>
      <c r="L23">
        <v>1368</v>
      </c>
      <c r="N23">
        <v>1011</v>
      </c>
      <c r="O23" t="s">
        <v>270</v>
      </c>
      <c r="P23" t="s">
        <v>270</v>
      </c>
      <c r="Q23">
        <v>1</v>
      </c>
      <c r="W23">
        <v>0</v>
      </c>
      <c r="X23">
        <v>-848025172</v>
      </c>
      <c r="Y23">
        <f t="shared" si="12"/>
        <v>1</v>
      </c>
      <c r="AA23">
        <v>0</v>
      </c>
      <c r="AB23">
        <v>1459.82</v>
      </c>
      <c r="AC23">
        <v>584.69000000000005</v>
      </c>
      <c r="AD23">
        <v>0</v>
      </c>
      <c r="AE23">
        <v>0</v>
      </c>
      <c r="AF23">
        <v>1459.82</v>
      </c>
      <c r="AG23">
        <v>584.69000000000005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</v>
      </c>
      <c r="AU23" t="s">
        <v>3</v>
      </c>
      <c r="AV23">
        <v>1</v>
      </c>
      <c r="AW23">
        <v>2</v>
      </c>
      <c r="AX23">
        <v>61625420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1459.82</v>
      </c>
      <c r="BL23">
        <v>584.69000000000005</v>
      </c>
      <c r="BM23">
        <v>0</v>
      </c>
      <c r="BN23">
        <v>0</v>
      </c>
      <c r="BO23">
        <v>1</v>
      </c>
      <c r="BP23">
        <v>1</v>
      </c>
      <c r="BQ23">
        <v>0</v>
      </c>
      <c r="BR23">
        <v>1459.82</v>
      </c>
      <c r="BS23">
        <v>584.69000000000005</v>
      </c>
      <c r="BT23">
        <v>0</v>
      </c>
      <c r="BU23">
        <v>0</v>
      </c>
      <c r="BV23">
        <v>1</v>
      </c>
      <c r="BW23">
        <v>1</v>
      </c>
      <c r="CV23">
        <v>0</v>
      </c>
      <c r="CW23">
        <f>ROUND(Y23*Source!I65*DO23,7)</f>
        <v>2</v>
      </c>
      <c r="CX23">
        <f>ROUND(Y23*Source!I65,7)</f>
        <v>2</v>
      </c>
      <c r="CY23">
        <f>AB23</f>
        <v>1459.82</v>
      </c>
      <c r="CZ23">
        <f>AF23</f>
        <v>1459.82</v>
      </c>
      <c r="DA23">
        <f>AJ23</f>
        <v>1</v>
      </c>
      <c r="DB23">
        <f t="shared" si="13"/>
        <v>1459.82</v>
      </c>
      <c r="DC23">
        <f t="shared" si="14"/>
        <v>584.69000000000005</v>
      </c>
      <c r="DD23" t="s">
        <v>3</v>
      </c>
      <c r="DE23" t="s">
        <v>3</v>
      </c>
      <c r="DF23">
        <f>ROUND(ROUND(AE23,2)*CX23,2)</f>
        <v>0</v>
      </c>
      <c r="DG23">
        <f t="shared" si="10"/>
        <v>2919.64</v>
      </c>
      <c r="DH23">
        <f t="shared" si="0"/>
        <v>1169.3800000000001</v>
      </c>
      <c r="DI23">
        <f t="shared" si="1"/>
        <v>0</v>
      </c>
      <c r="DJ23">
        <f>DG23+DH23</f>
        <v>4089.02</v>
      </c>
      <c r="DK23">
        <v>1</v>
      </c>
      <c r="DL23" t="s">
        <v>271</v>
      </c>
      <c r="DM23">
        <v>6</v>
      </c>
      <c r="DN23" t="s">
        <v>264</v>
      </c>
      <c r="DO23">
        <v>1</v>
      </c>
    </row>
    <row r="24" spans="1:119" x14ac:dyDescent="0.2">
      <c r="A24">
        <f>ROW(Source!A65)</f>
        <v>65</v>
      </c>
      <c r="B24">
        <v>61625010</v>
      </c>
      <c r="C24">
        <v>61625410</v>
      </c>
      <c r="D24">
        <v>56572833</v>
      </c>
      <c r="E24">
        <v>1</v>
      </c>
      <c r="F24">
        <v>1</v>
      </c>
      <c r="G24">
        <v>1</v>
      </c>
      <c r="H24">
        <v>2</v>
      </c>
      <c r="I24" t="s">
        <v>272</v>
      </c>
      <c r="J24" t="s">
        <v>273</v>
      </c>
      <c r="K24" t="s">
        <v>274</v>
      </c>
      <c r="L24">
        <v>1368</v>
      </c>
      <c r="N24">
        <v>1011</v>
      </c>
      <c r="O24" t="s">
        <v>270</v>
      </c>
      <c r="P24" t="s">
        <v>270</v>
      </c>
      <c r="Q24">
        <v>1</v>
      </c>
      <c r="W24">
        <v>0</v>
      </c>
      <c r="X24">
        <v>1230426758</v>
      </c>
      <c r="Y24">
        <f t="shared" si="12"/>
        <v>1</v>
      </c>
      <c r="AA24">
        <v>0</v>
      </c>
      <c r="AB24">
        <v>568.72</v>
      </c>
      <c r="AC24">
        <v>435.27</v>
      </c>
      <c r="AD24">
        <v>0</v>
      </c>
      <c r="AE24">
        <v>0</v>
      </c>
      <c r="AF24">
        <v>477.92</v>
      </c>
      <c r="AG24">
        <v>435.27</v>
      </c>
      <c r="AH24">
        <v>0</v>
      </c>
      <c r="AI24">
        <v>1</v>
      </c>
      <c r="AJ24">
        <v>1.19</v>
      </c>
      <c r="AK24">
        <v>1</v>
      </c>
      <c r="AL24">
        <v>1</v>
      </c>
      <c r="AM24">
        <v>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1</v>
      </c>
      <c r="AU24" t="s">
        <v>3</v>
      </c>
      <c r="AV24">
        <v>1</v>
      </c>
      <c r="AW24">
        <v>2</v>
      </c>
      <c r="AX24">
        <v>61625421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477.92</v>
      </c>
      <c r="BL24">
        <v>435.27</v>
      </c>
      <c r="BM24">
        <v>0</v>
      </c>
      <c r="BN24">
        <v>0</v>
      </c>
      <c r="BO24">
        <v>1</v>
      </c>
      <c r="BP24">
        <v>1</v>
      </c>
      <c r="BQ24">
        <v>0</v>
      </c>
      <c r="BR24">
        <v>477.92</v>
      </c>
      <c r="BS24">
        <v>435.27</v>
      </c>
      <c r="BT24">
        <v>0</v>
      </c>
      <c r="BU24">
        <v>0</v>
      </c>
      <c r="BV24">
        <v>1</v>
      </c>
      <c r="BW24">
        <v>1</v>
      </c>
      <c r="CV24">
        <v>0</v>
      </c>
      <c r="CW24">
        <f>ROUND(Y24*Source!I65*DO24,7)</f>
        <v>2</v>
      </c>
      <c r="CX24">
        <f>ROUND(Y24*Source!I65,7)</f>
        <v>2</v>
      </c>
      <c r="CY24">
        <f>AB24</f>
        <v>568.72</v>
      </c>
      <c r="CZ24">
        <f>AF24</f>
        <v>477.92</v>
      </c>
      <c r="DA24">
        <f>AJ24</f>
        <v>1.19</v>
      </c>
      <c r="DB24">
        <f t="shared" si="13"/>
        <v>477.92</v>
      </c>
      <c r="DC24">
        <f t="shared" si="14"/>
        <v>435.27</v>
      </c>
      <c r="DD24" t="s">
        <v>3</v>
      </c>
      <c r="DE24" t="s">
        <v>3</v>
      </c>
      <c r="DF24">
        <f>ROUND(ROUND(AE24,2)*CX24,2)</f>
        <v>0</v>
      </c>
      <c r="DG24">
        <f>ROUND(ROUND(AF24*AJ24,2)*CX24,2)</f>
        <v>1137.44</v>
      </c>
      <c r="DH24">
        <f t="shared" si="0"/>
        <v>870.54</v>
      </c>
      <c r="DI24">
        <f t="shared" si="1"/>
        <v>0</v>
      </c>
      <c r="DJ24">
        <f>DG24+DH24</f>
        <v>2007.98</v>
      </c>
      <c r="DK24">
        <v>1</v>
      </c>
      <c r="DL24" t="s">
        <v>275</v>
      </c>
      <c r="DM24">
        <v>4</v>
      </c>
      <c r="DN24" t="s">
        <v>264</v>
      </c>
      <c r="DO24">
        <v>1</v>
      </c>
    </row>
    <row r="25" spans="1:119" x14ac:dyDescent="0.2">
      <c r="A25">
        <f>ROW(Source!A65)</f>
        <v>65</v>
      </c>
      <c r="B25">
        <v>61625010</v>
      </c>
      <c r="C25">
        <v>61625410</v>
      </c>
      <c r="D25">
        <v>56580368</v>
      </c>
      <c r="E25">
        <v>1</v>
      </c>
      <c r="F25">
        <v>1</v>
      </c>
      <c r="G25">
        <v>1</v>
      </c>
      <c r="H25">
        <v>3</v>
      </c>
      <c r="I25" t="s">
        <v>276</v>
      </c>
      <c r="J25" t="s">
        <v>277</v>
      </c>
      <c r="K25" t="s">
        <v>278</v>
      </c>
      <c r="L25">
        <v>1346</v>
      </c>
      <c r="N25">
        <v>1009</v>
      </c>
      <c r="O25" t="s">
        <v>106</v>
      </c>
      <c r="P25" t="s">
        <v>106</v>
      </c>
      <c r="Q25">
        <v>1</v>
      </c>
      <c r="W25">
        <v>0</v>
      </c>
      <c r="X25">
        <v>-385218612</v>
      </c>
      <c r="Y25">
        <f t="shared" si="12"/>
        <v>0.42</v>
      </c>
      <c r="AA25">
        <v>194.17</v>
      </c>
      <c r="AB25">
        <v>0</v>
      </c>
      <c r="AC25">
        <v>0</v>
      </c>
      <c r="AD25">
        <v>0</v>
      </c>
      <c r="AE25">
        <v>174.93</v>
      </c>
      <c r="AF25">
        <v>0</v>
      </c>
      <c r="AG25">
        <v>0</v>
      </c>
      <c r="AH25">
        <v>0</v>
      </c>
      <c r="AI25">
        <v>1.1100000000000001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0.42</v>
      </c>
      <c r="AU25" t="s">
        <v>3</v>
      </c>
      <c r="AV25">
        <v>0</v>
      </c>
      <c r="AW25">
        <v>2</v>
      </c>
      <c r="AX25">
        <v>61625422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73.470600000000005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</v>
      </c>
      <c r="BQ25">
        <v>73.470600000000005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1</v>
      </c>
      <c r="CV25">
        <v>0</v>
      </c>
      <c r="CW25">
        <v>0</v>
      </c>
      <c r="CX25">
        <f>ROUND(Y25*Source!I65,7)</f>
        <v>0.84</v>
      </c>
      <c r="CY25">
        <f>AA25</f>
        <v>194.17</v>
      </c>
      <c r="CZ25">
        <f>AE25</f>
        <v>174.93</v>
      </c>
      <c r="DA25">
        <f>AI25</f>
        <v>1.1100000000000001</v>
      </c>
      <c r="DB25">
        <f t="shared" si="13"/>
        <v>73.47</v>
      </c>
      <c r="DC25">
        <f t="shared" si="14"/>
        <v>0</v>
      </c>
      <c r="DD25" t="s">
        <v>3</v>
      </c>
      <c r="DE25" t="s">
        <v>3</v>
      </c>
      <c r="DF25">
        <f>ROUND(ROUND(AE25*AI25,2)*CX25,2)</f>
        <v>163.1</v>
      </c>
      <c r="DG25">
        <f t="shared" ref="DG25:DG30" si="15">ROUND(ROUND(AF25,2)*CX25,2)</f>
        <v>0</v>
      </c>
      <c r="DH25">
        <f t="shared" si="0"/>
        <v>0</v>
      </c>
      <c r="DI25">
        <f t="shared" si="1"/>
        <v>0</v>
      </c>
      <c r="DJ25">
        <f>DF25</f>
        <v>163.1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ROW(Source!A65)</f>
        <v>65</v>
      </c>
      <c r="B26">
        <v>61625010</v>
      </c>
      <c r="C26">
        <v>61625410</v>
      </c>
      <c r="D26">
        <v>56592838</v>
      </c>
      <c r="E26">
        <v>1</v>
      </c>
      <c r="F26">
        <v>1</v>
      </c>
      <c r="G26">
        <v>1</v>
      </c>
      <c r="H26">
        <v>3</v>
      </c>
      <c r="I26" t="s">
        <v>279</v>
      </c>
      <c r="J26" t="s">
        <v>280</v>
      </c>
      <c r="K26" t="s">
        <v>281</v>
      </c>
      <c r="L26">
        <v>1348</v>
      </c>
      <c r="N26">
        <v>1009</v>
      </c>
      <c r="O26" t="s">
        <v>282</v>
      </c>
      <c r="P26" t="s">
        <v>282</v>
      </c>
      <c r="Q26">
        <v>1000</v>
      </c>
      <c r="W26">
        <v>0</v>
      </c>
      <c r="X26">
        <v>1567871126</v>
      </c>
      <c r="Y26">
        <f t="shared" si="12"/>
        <v>1E-3</v>
      </c>
      <c r="AA26">
        <v>62576.3</v>
      </c>
      <c r="AB26">
        <v>0</v>
      </c>
      <c r="AC26">
        <v>0</v>
      </c>
      <c r="AD26">
        <v>0</v>
      </c>
      <c r="AE26">
        <v>70310.45</v>
      </c>
      <c r="AF26">
        <v>0</v>
      </c>
      <c r="AG26">
        <v>0</v>
      </c>
      <c r="AH26">
        <v>0</v>
      </c>
      <c r="AI26">
        <v>0.89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1E-3</v>
      </c>
      <c r="AU26" t="s">
        <v>3</v>
      </c>
      <c r="AV26">
        <v>0</v>
      </c>
      <c r="AW26">
        <v>2</v>
      </c>
      <c r="AX26">
        <v>61625423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70.310450000000003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1</v>
      </c>
      <c r="BQ26">
        <v>70.310450000000003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1</v>
      </c>
      <c r="CV26">
        <v>0</v>
      </c>
      <c r="CW26">
        <v>0</v>
      </c>
      <c r="CX26">
        <f>ROUND(Y26*Source!I65,7)</f>
        <v>2E-3</v>
      </c>
      <c r="CY26">
        <f>AA26</f>
        <v>62576.3</v>
      </c>
      <c r="CZ26">
        <f>AE26</f>
        <v>70310.45</v>
      </c>
      <c r="DA26">
        <f>AI26</f>
        <v>0.89</v>
      </c>
      <c r="DB26">
        <f t="shared" si="13"/>
        <v>70.31</v>
      </c>
      <c r="DC26">
        <f t="shared" si="14"/>
        <v>0</v>
      </c>
      <c r="DD26" t="s">
        <v>3</v>
      </c>
      <c r="DE26" t="s">
        <v>3</v>
      </c>
      <c r="DF26">
        <f>ROUND(ROUND(AE26*AI26,2)*CX26,2)</f>
        <v>125.15</v>
      </c>
      <c r="DG26">
        <f t="shared" si="15"/>
        <v>0</v>
      </c>
      <c r="DH26">
        <f t="shared" si="0"/>
        <v>0</v>
      </c>
      <c r="DI26">
        <f t="shared" si="1"/>
        <v>0</v>
      </c>
      <c r="DJ26">
        <f>DF26</f>
        <v>125.15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ROW(Source!A65)</f>
        <v>65</v>
      </c>
      <c r="B27">
        <v>61625010</v>
      </c>
      <c r="C27">
        <v>61625410</v>
      </c>
      <c r="D27">
        <v>56610084</v>
      </c>
      <c r="E27">
        <v>1</v>
      </c>
      <c r="F27">
        <v>1</v>
      </c>
      <c r="G27">
        <v>1</v>
      </c>
      <c r="H27">
        <v>3</v>
      </c>
      <c r="I27" t="s">
        <v>283</v>
      </c>
      <c r="J27" t="s">
        <v>284</v>
      </c>
      <c r="K27" t="s">
        <v>285</v>
      </c>
      <c r="L27">
        <v>1346</v>
      </c>
      <c r="N27">
        <v>1009</v>
      </c>
      <c r="O27" t="s">
        <v>106</v>
      </c>
      <c r="P27" t="s">
        <v>106</v>
      </c>
      <c r="Q27">
        <v>1</v>
      </c>
      <c r="W27">
        <v>0</v>
      </c>
      <c r="X27">
        <v>50985725</v>
      </c>
      <c r="Y27">
        <f t="shared" si="12"/>
        <v>0.3</v>
      </c>
      <c r="AA27">
        <v>104.64</v>
      </c>
      <c r="AB27">
        <v>0</v>
      </c>
      <c r="AC27">
        <v>0</v>
      </c>
      <c r="AD27">
        <v>0</v>
      </c>
      <c r="AE27">
        <v>79.88</v>
      </c>
      <c r="AF27">
        <v>0</v>
      </c>
      <c r="AG27">
        <v>0</v>
      </c>
      <c r="AH27">
        <v>0</v>
      </c>
      <c r="AI27">
        <v>1.31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0.3</v>
      </c>
      <c r="AU27" t="s">
        <v>3</v>
      </c>
      <c r="AV27">
        <v>0</v>
      </c>
      <c r="AW27">
        <v>2</v>
      </c>
      <c r="AX27">
        <v>61625424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23.963999999999999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23.963999999999999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1</v>
      </c>
      <c r="CV27">
        <v>0</v>
      </c>
      <c r="CW27">
        <v>0</v>
      </c>
      <c r="CX27">
        <f>ROUND(Y27*Source!I65,7)</f>
        <v>0.6</v>
      </c>
      <c r="CY27">
        <f>AA27</f>
        <v>104.64</v>
      </c>
      <c r="CZ27">
        <f>AE27</f>
        <v>79.88</v>
      </c>
      <c r="DA27">
        <f>AI27</f>
        <v>1.31</v>
      </c>
      <c r="DB27">
        <f t="shared" si="13"/>
        <v>23.96</v>
      </c>
      <c r="DC27">
        <f t="shared" si="14"/>
        <v>0</v>
      </c>
      <c r="DD27" t="s">
        <v>3</v>
      </c>
      <c r="DE27" t="s">
        <v>3</v>
      </c>
      <c r="DF27">
        <f>ROUND(ROUND(AE27*AI27,2)*CX27,2)</f>
        <v>62.78</v>
      </c>
      <c r="DG27">
        <f t="shared" si="15"/>
        <v>0</v>
      </c>
      <c r="DH27">
        <f t="shared" si="0"/>
        <v>0</v>
      </c>
      <c r="DI27">
        <f t="shared" si="1"/>
        <v>0</v>
      </c>
      <c r="DJ27">
        <f>DF27</f>
        <v>62.78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ROW(Source!A66)</f>
        <v>66</v>
      </c>
      <c r="B28">
        <v>61625010</v>
      </c>
      <c r="C28">
        <v>61625985</v>
      </c>
      <c r="D28">
        <v>60458000</v>
      </c>
      <c r="E28">
        <v>110</v>
      </c>
      <c r="F28">
        <v>1</v>
      </c>
      <c r="G28">
        <v>1</v>
      </c>
      <c r="H28">
        <v>1</v>
      </c>
      <c r="I28" t="s">
        <v>262</v>
      </c>
      <c r="J28" t="s">
        <v>3</v>
      </c>
      <c r="K28" t="s">
        <v>263</v>
      </c>
      <c r="L28">
        <v>1191</v>
      </c>
      <c r="N28">
        <v>1013</v>
      </c>
      <c r="O28" t="s">
        <v>264</v>
      </c>
      <c r="P28" t="s">
        <v>264</v>
      </c>
      <c r="Q28">
        <v>1</v>
      </c>
      <c r="W28">
        <v>0</v>
      </c>
      <c r="X28">
        <v>-1111239348</v>
      </c>
      <c r="Y28">
        <f t="shared" si="12"/>
        <v>50.5</v>
      </c>
      <c r="AA28">
        <v>0</v>
      </c>
      <c r="AB28">
        <v>0</v>
      </c>
      <c r="AC28">
        <v>0</v>
      </c>
      <c r="AD28">
        <v>435.27</v>
      </c>
      <c r="AE28">
        <v>0</v>
      </c>
      <c r="AF28">
        <v>0</v>
      </c>
      <c r="AG28">
        <v>0</v>
      </c>
      <c r="AH28">
        <v>435.27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50.5</v>
      </c>
      <c r="AU28" t="s">
        <v>3</v>
      </c>
      <c r="AV28">
        <v>1</v>
      </c>
      <c r="AW28">
        <v>2</v>
      </c>
      <c r="AX28">
        <v>61625986</v>
      </c>
      <c r="AY28">
        <v>1</v>
      </c>
      <c r="AZ28">
        <v>0</v>
      </c>
      <c r="BA28">
        <v>29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21981.134999999998</v>
      </c>
      <c r="BN28">
        <v>50.5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21981.134999999998</v>
      </c>
      <c r="BU28">
        <v>50.5</v>
      </c>
      <c r="BV28">
        <v>0</v>
      </c>
      <c r="BW28">
        <v>1</v>
      </c>
      <c r="CU28">
        <f>ROUND(AT28*Source!I66*AH28*AL28,2)</f>
        <v>1055.0899999999999</v>
      </c>
      <c r="CV28">
        <f>ROUND(Y28*Source!I66,7)</f>
        <v>2.4239999999999999</v>
      </c>
      <c r="CW28">
        <v>0</v>
      </c>
      <c r="CX28">
        <f>ROUND(Y28*Source!I66,7)</f>
        <v>2.4239999999999999</v>
      </c>
      <c r="CY28">
        <f>AD28</f>
        <v>435.27</v>
      </c>
      <c r="CZ28">
        <f>AH28</f>
        <v>435.27</v>
      </c>
      <c r="DA28">
        <f>AL28</f>
        <v>1</v>
      </c>
      <c r="DB28">
        <f t="shared" si="13"/>
        <v>21981.14</v>
      </c>
      <c r="DC28">
        <f t="shared" si="14"/>
        <v>0</v>
      </c>
      <c r="DD28" t="s">
        <v>3</v>
      </c>
      <c r="DE28" t="s">
        <v>3</v>
      </c>
      <c r="DF28">
        <f t="shared" ref="DF28:DF33" si="16">ROUND(ROUND(AE28,2)*CX28,2)</f>
        <v>0</v>
      </c>
      <c r="DG28">
        <f t="shared" si="15"/>
        <v>0</v>
      </c>
      <c r="DH28">
        <f t="shared" si="0"/>
        <v>0</v>
      </c>
      <c r="DI28">
        <f t="shared" si="1"/>
        <v>1055.0899999999999</v>
      </c>
      <c r="DJ28">
        <f>DI28</f>
        <v>1055.0899999999999</v>
      </c>
      <c r="DK28">
        <v>1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ROW(Source!A66)</f>
        <v>66</v>
      </c>
      <c r="B29">
        <v>61625010</v>
      </c>
      <c r="C29">
        <v>61625985</v>
      </c>
      <c r="D29">
        <v>60458172</v>
      </c>
      <c r="E29">
        <v>110</v>
      </c>
      <c r="F29">
        <v>1</v>
      </c>
      <c r="G29">
        <v>1</v>
      </c>
      <c r="H29">
        <v>1</v>
      </c>
      <c r="I29" t="s">
        <v>265</v>
      </c>
      <c r="J29" t="s">
        <v>3</v>
      </c>
      <c r="K29" t="s">
        <v>266</v>
      </c>
      <c r="L29">
        <v>1191</v>
      </c>
      <c r="N29">
        <v>1013</v>
      </c>
      <c r="O29" t="s">
        <v>264</v>
      </c>
      <c r="P29" t="s">
        <v>264</v>
      </c>
      <c r="Q29">
        <v>1</v>
      </c>
      <c r="W29">
        <v>0</v>
      </c>
      <c r="X29">
        <v>-1417349443</v>
      </c>
      <c r="Y29">
        <f t="shared" si="12"/>
        <v>6.33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6.33</v>
      </c>
      <c r="AU29" t="s">
        <v>3</v>
      </c>
      <c r="AV29">
        <v>2</v>
      </c>
      <c r="AW29">
        <v>2</v>
      </c>
      <c r="AX29">
        <v>61625987</v>
      </c>
      <c r="AY29">
        <v>1</v>
      </c>
      <c r="AZ29">
        <v>0</v>
      </c>
      <c r="BA29">
        <v>30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ROUND(Y29*Source!I66,7)</f>
        <v>0.30384</v>
      </c>
      <c r="CY29">
        <f>AD29</f>
        <v>0</v>
      </c>
      <c r="CZ29">
        <f>AH29</f>
        <v>0</v>
      </c>
      <c r="DA29">
        <f>AL29</f>
        <v>1</v>
      </c>
      <c r="DB29">
        <f t="shared" si="13"/>
        <v>0</v>
      </c>
      <c r="DC29">
        <f t="shared" si="14"/>
        <v>0</v>
      </c>
      <c r="DD29" t="s">
        <v>3</v>
      </c>
      <c r="DE29" t="s">
        <v>3</v>
      </c>
      <c r="DF29">
        <f t="shared" si="16"/>
        <v>0</v>
      </c>
      <c r="DG29">
        <f t="shared" si="15"/>
        <v>0</v>
      </c>
      <c r="DH29">
        <f t="shared" si="0"/>
        <v>0</v>
      </c>
      <c r="DI29">
        <f t="shared" si="1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ROW(Source!A66)</f>
        <v>66</v>
      </c>
      <c r="B30">
        <v>61625010</v>
      </c>
      <c r="C30">
        <v>61625985</v>
      </c>
      <c r="D30">
        <v>60465258</v>
      </c>
      <c r="E30">
        <v>1</v>
      </c>
      <c r="F30">
        <v>1</v>
      </c>
      <c r="G30">
        <v>1</v>
      </c>
      <c r="H30">
        <v>2</v>
      </c>
      <c r="I30" t="s">
        <v>267</v>
      </c>
      <c r="J30" t="s">
        <v>268</v>
      </c>
      <c r="K30" t="s">
        <v>269</v>
      </c>
      <c r="L30">
        <v>1368</v>
      </c>
      <c r="N30">
        <v>1011</v>
      </c>
      <c r="O30" t="s">
        <v>270</v>
      </c>
      <c r="P30" t="s">
        <v>270</v>
      </c>
      <c r="Q30">
        <v>1</v>
      </c>
      <c r="W30">
        <v>0</v>
      </c>
      <c r="X30">
        <v>-1112845829</v>
      </c>
      <c r="Y30">
        <f t="shared" si="12"/>
        <v>0.2</v>
      </c>
      <c r="AA30">
        <v>0</v>
      </c>
      <c r="AB30">
        <v>1459.82</v>
      </c>
      <c r="AC30">
        <v>584.69000000000005</v>
      </c>
      <c r="AD30">
        <v>0</v>
      </c>
      <c r="AE30">
        <v>0</v>
      </c>
      <c r="AF30">
        <v>1459.82</v>
      </c>
      <c r="AG30">
        <v>584.69000000000005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0.2</v>
      </c>
      <c r="AU30" t="s">
        <v>3</v>
      </c>
      <c r="AV30">
        <v>1</v>
      </c>
      <c r="AW30">
        <v>2</v>
      </c>
      <c r="AX30">
        <v>61625988</v>
      </c>
      <c r="AY30">
        <v>1</v>
      </c>
      <c r="AZ30">
        <v>0</v>
      </c>
      <c r="BA30">
        <v>31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291.964</v>
      </c>
      <c r="BL30">
        <v>116.93800000000002</v>
      </c>
      <c r="BM30">
        <v>0</v>
      </c>
      <c r="BN30">
        <v>0</v>
      </c>
      <c r="BO30">
        <v>0.2</v>
      </c>
      <c r="BP30">
        <v>1</v>
      </c>
      <c r="BQ30">
        <v>0</v>
      </c>
      <c r="BR30">
        <v>291.964</v>
      </c>
      <c r="BS30">
        <v>116.93800000000002</v>
      </c>
      <c r="BT30">
        <v>0</v>
      </c>
      <c r="BU30">
        <v>0</v>
      </c>
      <c r="BV30">
        <v>0.2</v>
      </c>
      <c r="BW30">
        <v>1</v>
      </c>
      <c r="CV30">
        <v>0</v>
      </c>
      <c r="CW30">
        <f>ROUND(Y30*Source!I66*DO30,7)</f>
        <v>9.5999999999999992E-3</v>
      </c>
      <c r="CX30">
        <f>ROUND(Y30*Source!I66,7)</f>
        <v>9.5999999999999992E-3</v>
      </c>
      <c r="CY30">
        <f>AB30</f>
        <v>1459.82</v>
      </c>
      <c r="CZ30">
        <f>AF30</f>
        <v>1459.82</v>
      </c>
      <c r="DA30">
        <f>AJ30</f>
        <v>1</v>
      </c>
      <c r="DB30">
        <f t="shared" si="13"/>
        <v>291.95999999999998</v>
      </c>
      <c r="DC30">
        <f t="shared" si="14"/>
        <v>116.94</v>
      </c>
      <c r="DD30" t="s">
        <v>3</v>
      </c>
      <c r="DE30" t="s">
        <v>3</v>
      </c>
      <c r="DF30">
        <f t="shared" si="16"/>
        <v>0</v>
      </c>
      <c r="DG30">
        <f t="shared" si="15"/>
        <v>14.01</v>
      </c>
      <c r="DH30">
        <f t="shared" si="0"/>
        <v>5.61</v>
      </c>
      <c r="DI30">
        <f t="shared" si="1"/>
        <v>0</v>
      </c>
      <c r="DJ30">
        <f>DG30+DH30</f>
        <v>19.62</v>
      </c>
      <c r="DK30">
        <v>1</v>
      </c>
      <c r="DL30" t="s">
        <v>271</v>
      </c>
      <c r="DM30">
        <v>6</v>
      </c>
      <c r="DN30" t="s">
        <v>264</v>
      </c>
      <c r="DO30">
        <v>1</v>
      </c>
    </row>
    <row r="31" spans="1:119" x14ac:dyDescent="0.2">
      <c r="A31">
        <f>ROW(Source!A66)</f>
        <v>66</v>
      </c>
      <c r="B31">
        <v>61625010</v>
      </c>
      <c r="C31">
        <v>61625985</v>
      </c>
      <c r="D31">
        <v>60466143</v>
      </c>
      <c r="E31">
        <v>1</v>
      </c>
      <c r="F31">
        <v>1</v>
      </c>
      <c r="G31">
        <v>1</v>
      </c>
      <c r="H31">
        <v>2</v>
      </c>
      <c r="I31" t="s">
        <v>272</v>
      </c>
      <c r="J31" t="s">
        <v>273</v>
      </c>
      <c r="K31" t="s">
        <v>274</v>
      </c>
      <c r="L31">
        <v>1368</v>
      </c>
      <c r="N31">
        <v>1011</v>
      </c>
      <c r="O31" t="s">
        <v>270</v>
      </c>
      <c r="P31" t="s">
        <v>270</v>
      </c>
      <c r="Q31">
        <v>1</v>
      </c>
      <c r="W31">
        <v>0</v>
      </c>
      <c r="X31">
        <v>-1006353707</v>
      </c>
      <c r="Y31">
        <f t="shared" si="12"/>
        <v>0.2</v>
      </c>
      <c r="AA31">
        <v>0</v>
      </c>
      <c r="AB31">
        <v>568.72</v>
      </c>
      <c r="AC31">
        <v>435.27</v>
      </c>
      <c r="AD31">
        <v>0</v>
      </c>
      <c r="AE31">
        <v>0</v>
      </c>
      <c r="AF31">
        <v>477.92</v>
      </c>
      <c r="AG31">
        <v>435.27</v>
      </c>
      <c r="AH31">
        <v>0</v>
      </c>
      <c r="AI31">
        <v>1</v>
      </c>
      <c r="AJ31">
        <v>1.19</v>
      </c>
      <c r="AK31">
        <v>1</v>
      </c>
      <c r="AL31">
        <v>1</v>
      </c>
      <c r="AM31">
        <v>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0.2</v>
      </c>
      <c r="AU31" t="s">
        <v>3</v>
      </c>
      <c r="AV31">
        <v>1</v>
      </c>
      <c r="AW31">
        <v>2</v>
      </c>
      <c r="AX31">
        <v>61625989</v>
      </c>
      <c r="AY31">
        <v>1</v>
      </c>
      <c r="AZ31">
        <v>0</v>
      </c>
      <c r="BA31">
        <v>32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95.584000000000003</v>
      </c>
      <c r="BL31">
        <v>87.054000000000002</v>
      </c>
      <c r="BM31">
        <v>0</v>
      </c>
      <c r="BN31">
        <v>0</v>
      </c>
      <c r="BO31">
        <v>0.2</v>
      </c>
      <c r="BP31">
        <v>1</v>
      </c>
      <c r="BQ31">
        <v>0</v>
      </c>
      <c r="BR31">
        <v>95.584000000000003</v>
      </c>
      <c r="BS31">
        <v>87.054000000000002</v>
      </c>
      <c r="BT31">
        <v>0</v>
      </c>
      <c r="BU31">
        <v>0</v>
      </c>
      <c r="BV31">
        <v>0.2</v>
      </c>
      <c r="BW31">
        <v>1</v>
      </c>
      <c r="CV31">
        <v>0</v>
      </c>
      <c r="CW31">
        <f>ROUND(Y31*Source!I66*DO31,7)</f>
        <v>9.5999999999999992E-3</v>
      </c>
      <c r="CX31">
        <f>ROUND(Y31*Source!I66,7)</f>
        <v>9.5999999999999992E-3</v>
      </c>
      <c r="CY31">
        <f>AB31</f>
        <v>568.72</v>
      </c>
      <c r="CZ31">
        <f>AF31</f>
        <v>477.92</v>
      </c>
      <c r="DA31">
        <f>AJ31</f>
        <v>1.19</v>
      </c>
      <c r="DB31">
        <f t="shared" si="13"/>
        <v>95.58</v>
      </c>
      <c r="DC31">
        <f t="shared" si="14"/>
        <v>87.05</v>
      </c>
      <c r="DD31" t="s">
        <v>3</v>
      </c>
      <c r="DE31" t="s">
        <v>3</v>
      </c>
      <c r="DF31">
        <f t="shared" si="16"/>
        <v>0</v>
      </c>
      <c r="DG31">
        <f>ROUND(ROUND(AF31*AJ31,2)*CX31,2)</f>
        <v>5.46</v>
      </c>
      <c r="DH31">
        <f t="shared" si="0"/>
        <v>4.18</v>
      </c>
      <c r="DI31">
        <f t="shared" si="1"/>
        <v>0</v>
      </c>
      <c r="DJ31">
        <f>DG31+DH31</f>
        <v>9.64</v>
      </c>
      <c r="DK31">
        <v>1</v>
      </c>
      <c r="DL31" t="s">
        <v>275</v>
      </c>
      <c r="DM31">
        <v>4</v>
      </c>
      <c r="DN31" t="s">
        <v>264</v>
      </c>
      <c r="DO31">
        <v>1</v>
      </c>
    </row>
    <row r="32" spans="1:119" x14ac:dyDescent="0.2">
      <c r="A32">
        <f>ROW(Source!A66)</f>
        <v>66</v>
      </c>
      <c r="B32">
        <v>61625010</v>
      </c>
      <c r="C32">
        <v>61625985</v>
      </c>
      <c r="D32">
        <v>60466337</v>
      </c>
      <c r="E32">
        <v>1</v>
      </c>
      <c r="F32">
        <v>1</v>
      </c>
      <c r="G32">
        <v>1</v>
      </c>
      <c r="H32">
        <v>2</v>
      </c>
      <c r="I32" t="s">
        <v>289</v>
      </c>
      <c r="J32" t="s">
        <v>290</v>
      </c>
      <c r="K32" t="s">
        <v>291</v>
      </c>
      <c r="L32">
        <v>1368</v>
      </c>
      <c r="N32">
        <v>1011</v>
      </c>
      <c r="O32" t="s">
        <v>270</v>
      </c>
      <c r="P32" t="s">
        <v>270</v>
      </c>
      <c r="Q32">
        <v>1</v>
      </c>
      <c r="W32">
        <v>0</v>
      </c>
      <c r="X32">
        <v>-103238006</v>
      </c>
      <c r="Y32">
        <f t="shared" si="12"/>
        <v>6.25</v>
      </c>
      <c r="AA32">
        <v>0</v>
      </c>
      <c r="AB32">
        <v>25.86</v>
      </c>
      <c r="AC32">
        <v>0</v>
      </c>
      <c r="AD32">
        <v>0</v>
      </c>
      <c r="AE32">
        <v>0</v>
      </c>
      <c r="AF32">
        <v>25.86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6.25</v>
      </c>
      <c r="AU32" t="s">
        <v>3</v>
      </c>
      <c r="AV32">
        <v>1</v>
      </c>
      <c r="AW32">
        <v>2</v>
      </c>
      <c r="AX32">
        <v>61625990</v>
      </c>
      <c r="AY32">
        <v>1</v>
      </c>
      <c r="AZ32">
        <v>0</v>
      </c>
      <c r="BA32">
        <v>33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161.625</v>
      </c>
      <c r="BL32">
        <v>0</v>
      </c>
      <c r="BM32">
        <v>0</v>
      </c>
      <c r="BN32">
        <v>0</v>
      </c>
      <c r="BO32">
        <v>0</v>
      </c>
      <c r="BP32">
        <v>1</v>
      </c>
      <c r="BQ32">
        <v>0</v>
      </c>
      <c r="BR32">
        <v>161.625</v>
      </c>
      <c r="BS32">
        <v>0</v>
      </c>
      <c r="BT32">
        <v>0</v>
      </c>
      <c r="BU32">
        <v>0</v>
      </c>
      <c r="BV32">
        <v>0</v>
      </c>
      <c r="BW32">
        <v>1</v>
      </c>
      <c r="CV32">
        <v>0</v>
      </c>
      <c r="CW32">
        <f>ROUND(Y32*Source!I66*DO32,7)</f>
        <v>0</v>
      </c>
      <c r="CX32">
        <f>ROUND(Y32*Source!I66,7)</f>
        <v>0.3</v>
      </c>
      <c r="CY32">
        <f>AB32</f>
        <v>25.86</v>
      </c>
      <c r="CZ32">
        <f>AF32</f>
        <v>25.86</v>
      </c>
      <c r="DA32">
        <f>AJ32</f>
        <v>1</v>
      </c>
      <c r="DB32">
        <f t="shared" si="13"/>
        <v>161.63</v>
      </c>
      <c r="DC32">
        <f t="shared" si="14"/>
        <v>0</v>
      </c>
      <c r="DD32" t="s">
        <v>3</v>
      </c>
      <c r="DE32" t="s">
        <v>3</v>
      </c>
      <c r="DF32">
        <f t="shared" si="16"/>
        <v>0</v>
      </c>
      <c r="DG32">
        <f>ROUND(ROUND(AF32,2)*CX32,2)</f>
        <v>7.76</v>
      </c>
      <c r="DH32">
        <f t="shared" si="0"/>
        <v>0</v>
      </c>
      <c r="DI32">
        <f t="shared" si="1"/>
        <v>0</v>
      </c>
      <c r="DJ32">
        <f>DG32+DH32</f>
        <v>7.76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ROW(Source!A66)</f>
        <v>66</v>
      </c>
      <c r="B33">
        <v>61625010</v>
      </c>
      <c r="C33">
        <v>61625985</v>
      </c>
      <c r="D33">
        <v>60466897</v>
      </c>
      <c r="E33">
        <v>1</v>
      </c>
      <c r="F33">
        <v>1</v>
      </c>
      <c r="G33">
        <v>1</v>
      </c>
      <c r="H33">
        <v>2</v>
      </c>
      <c r="I33" t="s">
        <v>292</v>
      </c>
      <c r="J33" t="s">
        <v>293</v>
      </c>
      <c r="K33" t="s">
        <v>294</v>
      </c>
      <c r="L33">
        <v>1368</v>
      </c>
      <c r="N33">
        <v>1011</v>
      </c>
      <c r="O33" t="s">
        <v>270</v>
      </c>
      <c r="P33" t="s">
        <v>270</v>
      </c>
      <c r="Q33">
        <v>1</v>
      </c>
      <c r="W33">
        <v>0</v>
      </c>
      <c r="X33">
        <v>864949741</v>
      </c>
      <c r="Y33">
        <f t="shared" si="12"/>
        <v>5.93</v>
      </c>
      <c r="AA33">
        <v>0</v>
      </c>
      <c r="AB33">
        <v>32.11</v>
      </c>
      <c r="AC33">
        <v>435.27</v>
      </c>
      <c r="AD33">
        <v>0</v>
      </c>
      <c r="AE33">
        <v>0</v>
      </c>
      <c r="AF33">
        <v>26.76</v>
      </c>
      <c r="AG33">
        <v>435.27</v>
      </c>
      <c r="AH33">
        <v>0</v>
      </c>
      <c r="AI33">
        <v>1</v>
      </c>
      <c r="AJ33">
        <v>1.2</v>
      </c>
      <c r="AK33">
        <v>1</v>
      </c>
      <c r="AL33">
        <v>1</v>
      </c>
      <c r="AM33">
        <v>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5.93</v>
      </c>
      <c r="AU33" t="s">
        <v>3</v>
      </c>
      <c r="AV33">
        <v>1</v>
      </c>
      <c r="AW33">
        <v>2</v>
      </c>
      <c r="AX33">
        <v>61625991</v>
      </c>
      <c r="AY33">
        <v>1</v>
      </c>
      <c r="AZ33">
        <v>0</v>
      </c>
      <c r="BA33">
        <v>34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158.68680000000001</v>
      </c>
      <c r="BL33">
        <v>2581.1510999999996</v>
      </c>
      <c r="BM33">
        <v>0</v>
      </c>
      <c r="BN33">
        <v>0</v>
      </c>
      <c r="BO33">
        <v>5.93</v>
      </c>
      <c r="BP33">
        <v>1</v>
      </c>
      <c r="BQ33">
        <v>0</v>
      </c>
      <c r="BR33">
        <v>158.68680000000001</v>
      </c>
      <c r="BS33">
        <v>2581.1510999999996</v>
      </c>
      <c r="BT33">
        <v>0</v>
      </c>
      <c r="BU33">
        <v>0</v>
      </c>
      <c r="BV33">
        <v>5.93</v>
      </c>
      <c r="BW33">
        <v>1</v>
      </c>
      <c r="CV33">
        <v>0</v>
      </c>
      <c r="CW33">
        <f>ROUND(Y33*Source!I66*DO33,7)</f>
        <v>0.28464</v>
      </c>
      <c r="CX33">
        <f>ROUND(Y33*Source!I66,7)</f>
        <v>0.28464</v>
      </c>
      <c r="CY33">
        <f>AB33</f>
        <v>32.11</v>
      </c>
      <c r="CZ33">
        <f>AF33</f>
        <v>26.76</v>
      </c>
      <c r="DA33">
        <f>AJ33</f>
        <v>1.2</v>
      </c>
      <c r="DB33">
        <f t="shared" si="13"/>
        <v>158.69</v>
      </c>
      <c r="DC33">
        <f t="shared" si="14"/>
        <v>2581.15</v>
      </c>
      <c r="DD33" t="s">
        <v>3</v>
      </c>
      <c r="DE33" t="s">
        <v>3</v>
      </c>
      <c r="DF33">
        <f t="shared" si="16"/>
        <v>0</v>
      </c>
      <c r="DG33">
        <f>ROUND(ROUND(AF33*AJ33,2)*CX33,2)</f>
        <v>9.14</v>
      </c>
      <c r="DH33">
        <f t="shared" ref="DH33:DH67" si="17">ROUND(ROUND(AG33,2)*CX33,2)</f>
        <v>123.9</v>
      </c>
      <c r="DI33">
        <f t="shared" ref="DI33:DI67" si="18">ROUND(ROUND(AH33,2)*CX33,2)</f>
        <v>0</v>
      </c>
      <c r="DJ33">
        <f>DG33+DH33</f>
        <v>133.04000000000002</v>
      </c>
      <c r="DK33">
        <v>1</v>
      </c>
      <c r="DL33" t="s">
        <v>275</v>
      </c>
      <c r="DM33">
        <v>4</v>
      </c>
      <c r="DN33" t="s">
        <v>264</v>
      </c>
      <c r="DO33">
        <v>1</v>
      </c>
    </row>
    <row r="34" spans="1:119" x14ac:dyDescent="0.2">
      <c r="A34">
        <f>ROW(Source!A66)</f>
        <v>66</v>
      </c>
      <c r="B34">
        <v>61625010</v>
      </c>
      <c r="C34">
        <v>61625985</v>
      </c>
      <c r="D34">
        <v>60530020</v>
      </c>
      <c r="E34">
        <v>1</v>
      </c>
      <c r="F34">
        <v>1</v>
      </c>
      <c r="G34">
        <v>1</v>
      </c>
      <c r="H34">
        <v>3</v>
      </c>
      <c r="I34" t="s">
        <v>295</v>
      </c>
      <c r="J34" t="s">
        <v>296</v>
      </c>
      <c r="K34" t="s">
        <v>297</v>
      </c>
      <c r="L34">
        <v>1339</v>
      </c>
      <c r="N34">
        <v>1007</v>
      </c>
      <c r="O34" t="s">
        <v>298</v>
      </c>
      <c r="P34" t="s">
        <v>298</v>
      </c>
      <c r="Q34">
        <v>1</v>
      </c>
      <c r="W34">
        <v>0</v>
      </c>
      <c r="X34">
        <v>1281429860</v>
      </c>
      <c r="Y34">
        <f t="shared" si="12"/>
        <v>0.44</v>
      </c>
      <c r="AA34">
        <v>259.04000000000002</v>
      </c>
      <c r="AB34">
        <v>0</v>
      </c>
      <c r="AC34">
        <v>0</v>
      </c>
      <c r="AD34">
        <v>0</v>
      </c>
      <c r="AE34">
        <v>253.96</v>
      </c>
      <c r="AF34">
        <v>0</v>
      </c>
      <c r="AG34">
        <v>0</v>
      </c>
      <c r="AH34">
        <v>0</v>
      </c>
      <c r="AI34">
        <v>1.02</v>
      </c>
      <c r="AJ34">
        <v>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0.44</v>
      </c>
      <c r="AU34" t="s">
        <v>3</v>
      </c>
      <c r="AV34">
        <v>0</v>
      </c>
      <c r="AW34">
        <v>2</v>
      </c>
      <c r="AX34">
        <v>61625992</v>
      </c>
      <c r="AY34">
        <v>1</v>
      </c>
      <c r="AZ34">
        <v>0</v>
      </c>
      <c r="BA34">
        <v>35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111.7424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111.7424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1</v>
      </c>
      <c r="CV34">
        <v>0</v>
      </c>
      <c r="CW34">
        <v>0</v>
      </c>
      <c r="CX34">
        <f>ROUND(Y34*Source!I66,7)</f>
        <v>2.112E-2</v>
      </c>
      <c r="CY34">
        <f t="shared" ref="CY34:CY39" si="19">AA34</f>
        <v>259.04000000000002</v>
      </c>
      <c r="CZ34">
        <f t="shared" ref="CZ34:CZ39" si="20">AE34</f>
        <v>253.96</v>
      </c>
      <c r="DA34">
        <f t="shared" ref="DA34:DA39" si="21">AI34</f>
        <v>1.02</v>
      </c>
      <c r="DB34">
        <f t="shared" si="13"/>
        <v>111.74</v>
      </c>
      <c r="DC34">
        <f t="shared" si="14"/>
        <v>0</v>
      </c>
      <c r="DD34" t="s">
        <v>3</v>
      </c>
      <c r="DE34" t="s">
        <v>3</v>
      </c>
      <c r="DF34">
        <f>ROUND(ROUND(AE34*AI34,2)*CX34,2)</f>
        <v>5.47</v>
      </c>
      <c r="DG34">
        <f t="shared" ref="DG34:DG67" si="22">ROUND(ROUND(AF34,2)*CX34,2)</f>
        <v>0</v>
      </c>
      <c r="DH34">
        <f t="shared" si="17"/>
        <v>0</v>
      </c>
      <c r="DI34">
        <f t="shared" si="18"/>
        <v>0</v>
      </c>
      <c r="DJ34">
        <f t="shared" ref="DJ34:DJ39" si="23">DF34</f>
        <v>5.47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ROW(Source!A66)</f>
        <v>66</v>
      </c>
      <c r="B35">
        <v>61625010</v>
      </c>
      <c r="C35">
        <v>61625985</v>
      </c>
      <c r="D35">
        <v>60532384</v>
      </c>
      <c r="E35">
        <v>1</v>
      </c>
      <c r="F35">
        <v>1</v>
      </c>
      <c r="G35">
        <v>1</v>
      </c>
      <c r="H35">
        <v>3</v>
      </c>
      <c r="I35" t="s">
        <v>299</v>
      </c>
      <c r="J35" t="s">
        <v>300</v>
      </c>
      <c r="K35" t="s">
        <v>301</v>
      </c>
      <c r="L35">
        <v>1346</v>
      </c>
      <c r="N35">
        <v>1009</v>
      </c>
      <c r="O35" t="s">
        <v>106</v>
      </c>
      <c r="P35" t="s">
        <v>106</v>
      </c>
      <c r="Q35">
        <v>1</v>
      </c>
      <c r="W35">
        <v>0</v>
      </c>
      <c r="X35">
        <v>2089451437</v>
      </c>
      <c r="Y35">
        <f t="shared" si="12"/>
        <v>0.03</v>
      </c>
      <c r="AA35">
        <v>147.85</v>
      </c>
      <c r="AB35">
        <v>0</v>
      </c>
      <c r="AC35">
        <v>0</v>
      </c>
      <c r="AD35">
        <v>0</v>
      </c>
      <c r="AE35">
        <v>155.63</v>
      </c>
      <c r="AF35">
        <v>0</v>
      </c>
      <c r="AG35">
        <v>0</v>
      </c>
      <c r="AH35">
        <v>0</v>
      </c>
      <c r="AI35">
        <v>0.95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0.03</v>
      </c>
      <c r="AU35" t="s">
        <v>3</v>
      </c>
      <c r="AV35">
        <v>0</v>
      </c>
      <c r="AW35">
        <v>2</v>
      </c>
      <c r="AX35">
        <v>61625993</v>
      </c>
      <c r="AY35">
        <v>1</v>
      </c>
      <c r="AZ35">
        <v>0</v>
      </c>
      <c r="BA35">
        <v>36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4.6688999999999998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4.6688999999999998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1</v>
      </c>
      <c r="CV35">
        <v>0</v>
      </c>
      <c r="CW35">
        <v>0</v>
      </c>
      <c r="CX35">
        <f>ROUND(Y35*Source!I66,7)</f>
        <v>1.4400000000000001E-3</v>
      </c>
      <c r="CY35">
        <f t="shared" si="19"/>
        <v>147.85</v>
      </c>
      <c r="CZ35">
        <f t="shared" si="20"/>
        <v>155.63</v>
      </c>
      <c r="DA35">
        <f t="shared" si="21"/>
        <v>0.95</v>
      </c>
      <c r="DB35">
        <f t="shared" si="13"/>
        <v>4.67</v>
      </c>
      <c r="DC35">
        <f t="shared" si="14"/>
        <v>0</v>
      </c>
      <c r="DD35" t="s">
        <v>3</v>
      </c>
      <c r="DE35" t="s">
        <v>3</v>
      </c>
      <c r="DF35">
        <f>ROUND(ROUND(AE35*AI35,2)*CX35,2)</f>
        <v>0.21</v>
      </c>
      <c r="DG35">
        <f t="shared" si="22"/>
        <v>0</v>
      </c>
      <c r="DH35">
        <f t="shared" si="17"/>
        <v>0</v>
      </c>
      <c r="DI35">
        <f t="shared" si="18"/>
        <v>0</v>
      </c>
      <c r="DJ35">
        <f t="shared" si="23"/>
        <v>0.21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ROW(Source!A66)</f>
        <v>66</v>
      </c>
      <c r="B36">
        <v>61625010</v>
      </c>
      <c r="C36">
        <v>61625985</v>
      </c>
      <c r="D36">
        <v>60540982</v>
      </c>
      <c r="E36">
        <v>1</v>
      </c>
      <c r="F36">
        <v>1</v>
      </c>
      <c r="G36">
        <v>1</v>
      </c>
      <c r="H36">
        <v>3</v>
      </c>
      <c r="I36" t="s">
        <v>302</v>
      </c>
      <c r="J36" t="s">
        <v>308</v>
      </c>
      <c r="K36" t="s">
        <v>304</v>
      </c>
      <c r="L36">
        <v>1348</v>
      </c>
      <c r="N36">
        <v>1009</v>
      </c>
      <c r="O36" t="s">
        <v>282</v>
      </c>
      <c r="P36" t="s">
        <v>282</v>
      </c>
      <c r="Q36">
        <v>1000</v>
      </c>
      <c r="W36">
        <v>0</v>
      </c>
      <c r="X36">
        <v>600835739</v>
      </c>
      <c r="Y36">
        <f t="shared" si="12"/>
        <v>1.2999999999999999E-4</v>
      </c>
      <c r="AA36">
        <v>413783.63</v>
      </c>
      <c r="AB36">
        <v>0</v>
      </c>
      <c r="AC36">
        <v>0</v>
      </c>
      <c r="AD36">
        <v>0</v>
      </c>
      <c r="AE36">
        <v>530491.82999999996</v>
      </c>
      <c r="AF36">
        <v>0</v>
      </c>
      <c r="AG36">
        <v>0</v>
      </c>
      <c r="AH36">
        <v>0</v>
      </c>
      <c r="AI36">
        <v>0.78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1.2999999999999999E-4</v>
      </c>
      <c r="AU36" t="s">
        <v>3</v>
      </c>
      <c r="AV36">
        <v>0</v>
      </c>
      <c r="AW36">
        <v>2</v>
      </c>
      <c r="AX36">
        <v>61625994</v>
      </c>
      <c r="AY36">
        <v>1</v>
      </c>
      <c r="AZ36">
        <v>0</v>
      </c>
      <c r="BA36">
        <v>37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68.963937899999991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68.963937899999991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</v>
      </c>
      <c r="CV36">
        <v>0</v>
      </c>
      <c r="CW36">
        <v>0</v>
      </c>
      <c r="CX36">
        <f>ROUND(Y36*Source!I66,7)</f>
        <v>6.1999999999999999E-6</v>
      </c>
      <c r="CY36">
        <f t="shared" si="19"/>
        <v>413783.63</v>
      </c>
      <c r="CZ36">
        <f t="shared" si="20"/>
        <v>530491.82999999996</v>
      </c>
      <c r="DA36">
        <f t="shared" si="21"/>
        <v>0.78</v>
      </c>
      <c r="DB36">
        <f t="shared" si="13"/>
        <v>68.959999999999994</v>
      </c>
      <c r="DC36">
        <f t="shared" si="14"/>
        <v>0</v>
      </c>
      <c r="DD36" t="s">
        <v>3</v>
      </c>
      <c r="DE36" t="s">
        <v>3</v>
      </c>
      <c r="DF36">
        <f>ROUND(ROUND(AE36*AI36,2)*CX36,2)</f>
        <v>2.57</v>
      </c>
      <c r="DG36">
        <f t="shared" si="22"/>
        <v>0</v>
      </c>
      <c r="DH36">
        <f t="shared" si="17"/>
        <v>0</v>
      </c>
      <c r="DI36">
        <f t="shared" si="18"/>
        <v>0</v>
      </c>
      <c r="DJ36">
        <f t="shared" si="23"/>
        <v>2.57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ROW(Source!A66)</f>
        <v>66</v>
      </c>
      <c r="B37">
        <v>61625010</v>
      </c>
      <c r="C37">
        <v>61625985</v>
      </c>
      <c r="D37">
        <v>60541225</v>
      </c>
      <c r="E37">
        <v>1</v>
      </c>
      <c r="F37">
        <v>1</v>
      </c>
      <c r="G37">
        <v>1</v>
      </c>
      <c r="H37">
        <v>3</v>
      </c>
      <c r="I37" t="s">
        <v>305</v>
      </c>
      <c r="J37" t="s">
        <v>306</v>
      </c>
      <c r="K37" t="s">
        <v>307</v>
      </c>
      <c r="L37">
        <v>1348</v>
      </c>
      <c r="N37">
        <v>1009</v>
      </c>
      <c r="O37" t="s">
        <v>282</v>
      </c>
      <c r="P37" t="s">
        <v>282</v>
      </c>
      <c r="Q37">
        <v>1000</v>
      </c>
      <c r="W37">
        <v>0</v>
      </c>
      <c r="X37">
        <v>474100747</v>
      </c>
      <c r="Y37">
        <f t="shared" si="12"/>
        <v>1.8000000000000001E-4</v>
      </c>
      <c r="AA37">
        <v>737212.26</v>
      </c>
      <c r="AB37">
        <v>0</v>
      </c>
      <c r="AC37">
        <v>0</v>
      </c>
      <c r="AD37">
        <v>0</v>
      </c>
      <c r="AE37">
        <v>945143.92</v>
      </c>
      <c r="AF37">
        <v>0</v>
      </c>
      <c r="AG37">
        <v>0</v>
      </c>
      <c r="AH37">
        <v>0</v>
      </c>
      <c r="AI37">
        <v>0.78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1.8000000000000001E-4</v>
      </c>
      <c r="AU37" t="s">
        <v>3</v>
      </c>
      <c r="AV37">
        <v>0</v>
      </c>
      <c r="AW37">
        <v>2</v>
      </c>
      <c r="AX37">
        <v>61625995</v>
      </c>
      <c r="AY37">
        <v>1</v>
      </c>
      <c r="AZ37">
        <v>0</v>
      </c>
      <c r="BA37">
        <v>38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170.12590560000001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170.12590560000001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1</v>
      </c>
      <c r="CV37">
        <v>0</v>
      </c>
      <c r="CW37">
        <v>0</v>
      </c>
      <c r="CX37">
        <f>ROUND(Y37*Source!I66,7)</f>
        <v>8.6000000000000007E-6</v>
      </c>
      <c r="CY37">
        <f t="shared" si="19"/>
        <v>737212.26</v>
      </c>
      <c r="CZ37">
        <f t="shared" si="20"/>
        <v>945143.92</v>
      </c>
      <c r="DA37">
        <f t="shared" si="21"/>
        <v>0.78</v>
      </c>
      <c r="DB37">
        <f t="shared" si="13"/>
        <v>170.13</v>
      </c>
      <c r="DC37">
        <f t="shared" si="14"/>
        <v>0</v>
      </c>
      <c r="DD37" t="s">
        <v>3</v>
      </c>
      <c r="DE37" t="s">
        <v>3</v>
      </c>
      <c r="DF37">
        <f>ROUND(ROUND(AE37*AI37,2)*CX37,2)</f>
        <v>6.34</v>
      </c>
      <c r="DG37">
        <f t="shared" si="22"/>
        <v>0</v>
      </c>
      <c r="DH37">
        <f t="shared" si="17"/>
        <v>0</v>
      </c>
      <c r="DI37">
        <f t="shared" si="18"/>
        <v>0</v>
      </c>
      <c r="DJ37">
        <f t="shared" si="23"/>
        <v>6.34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ROW(Source!A66)</f>
        <v>66</v>
      </c>
      <c r="B38">
        <v>61625010</v>
      </c>
      <c r="C38">
        <v>61625985</v>
      </c>
      <c r="D38">
        <v>60549173</v>
      </c>
      <c r="E38">
        <v>1</v>
      </c>
      <c r="F38">
        <v>1</v>
      </c>
      <c r="G38">
        <v>1</v>
      </c>
      <c r="H38">
        <v>3</v>
      </c>
      <c r="I38" t="s">
        <v>283</v>
      </c>
      <c r="J38" t="s">
        <v>284</v>
      </c>
      <c r="K38" t="s">
        <v>285</v>
      </c>
      <c r="L38">
        <v>1346</v>
      </c>
      <c r="N38">
        <v>1009</v>
      </c>
      <c r="O38" t="s">
        <v>106</v>
      </c>
      <c r="P38" t="s">
        <v>106</v>
      </c>
      <c r="Q38">
        <v>1</v>
      </c>
      <c r="W38">
        <v>0</v>
      </c>
      <c r="X38">
        <v>801841253</v>
      </c>
      <c r="Y38">
        <f t="shared" si="12"/>
        <v>1.36</v>
      </c>
      <c r="AA38">
        <v>104.64</v>
      </c>
      <c r="AB38">
        <v>0</v>
      </c>
      <c r="AC38">
        <v>0</v>
      </c>
      <c r="AD38">
        <v>0</v>
      </c>
      <c r="AE38">
        <v>79.88</v>
      </c>
      <c r="AF38">
        <v>0</v>
      </c>
      <c r="AG38">
        <v>0</v>
      </c>
      <c r="AH38">
        <v>0</v>
      </c>
      <c r="AI38">
        <v>1.31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0</v>
      </c>
      <c r="AP38">
        <v>1</v>
      </c>
      <c r="AQ38">
        <v>1</v>
      </c>
      <c r="AR38">
        <v>0</v>
      </c>
      <c r="AS38" t="s">
        <v>3</v>
      </c>
      <c r="AT38">
        <v>1.36</v>
      </c>
      <c r="AU38" t="s">
        <v>3</v>
      </c>
      <c r="AV38">
        <v>0</v>
      </c>
      <c r="AW38">
        <v>2</v>
      </c>
      <c r="AX38">
        <v>61625996</v>
      </c>
      <c r="AY38">
        <v>1</v>
      </c>
      <c r="AZ38">
        <v>0</v>
      </c>
      <c r="BA38">
        <v>39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108.63680000000001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1</v>
      </c>
      <c r="BQ38">
        <v>108.63680000000001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1</v>
      </c>
      <c r="CV38">
        <v>0</v>
      </c>
      <c r="CW38">
        <v>0</v>
      </c>
      <c r="CX38">
        <f>ROUND(Y38*Source!I66,7)</f>
        <v>6.5280000000000005E-2</v>
      </c>
      <c r="CY38">
        <f t="shared" si="19"/>
        <v>104.64</v>
      </c>
      <c r="CZ38">
        <f t="shared" si="20"/>
        <v>79.88</v>
      </c>
      <c r="DA38">
        <f t="shared" si="21"/>
        <v>1.31</v>
      </c>
      <c r="DB38">
        <f t="shared" si="13"/>
        <v>108.64</v>
      </c>
      <c r="DC38">
        <f t="shared" si="14"/>
        <v>0</v>
      </c>
      <c r="DD38" t="s">
        <v>3</v>
      </c>
      <c r="DE38" t="s">
        <v>3</v>
      </c>
      <c r="DF38">
        <f>ROUND(ROUND(AE38*AI38,2)*CX38,2)</f>
        <v>6.83</v>
      </c>
      <c r="DG38">
        <f t="shared" si="22"/>
        <v>0</v>
      </c>
      <c r="DH38">
        <f t="shared" si="17"/>
        <v>0</v>
      </c>
      <c r="DI38">
        <f t="shared" si="18"/>
        <v>0</v>
      </c>
      <c r="DJ38">
        <f t="shared" si="23"/>
        <v>6.83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ROW(Source!A66)</f>
        <v>66</v>
      </c>
      <c r="B39">
        <v>61625010</v>
      </c>
      <c r="C39">
        <v>61625985</v>
      </c>
      <c r="D39">
        <v>60463688</v>
      </c>
      <c r="E39">
        <v>110</v>
      </c>
      <c r="F39">
        <v>1</v>
      </c>
      <c r="G39">
        <v>1</v>
      </c>
      <c r="H39">
        <v>3</v>
      </c>
      <c r="I39" t="s">
        <v>286</v>
      </c>
      <c r="J39" t="s">
        <v>3</v>
      </c>
      <c r="K39" t="s">
        <v>287</v>
      </c>
      <c r="L39">
        <v>3277935</v>
      </c>
      <c r="N39">
        <v>1013</v>
      </c>
      <c r="O39" t="s">
        <v>288</v>
      </c>
      <c r="P39" t="s">
        <v>288</v>
      </c>
      <c r="Q39">
        <v>1</v>
      </c>
      <c r="W39">
        <v>0</v>
      </c>
      <c r="X39">
        <v>274903907</v>
      </c>
      <c r="Y39">
        <f t="shared" si="12"/>
        <v>2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0</v>
      </c>
      <c r="AQ39">
        <v>1</v>
      </c>
      <c r="AR39">
        <v>0</v>
      </c>
      <c r="AS39" t="s">
        <v>3</v>
      </c>
      <c r="AT39">
        <v>2</v>
      </c>
      <c r="AU39" t="s">
        <v>3</v>
      </c>
      <c r="AV39">
        <v>0</v>
      </c>
      <c r="AW39">
        <v>2</v>
      </c>
      <c r="AX39">
        <v>61625997</v>
      </c>
      <c r="AY39">
        <v>1</v>
      </c>
      <c r="AZ39">
        <v>0</v>
      </c>
      <c r="BA39">
        <v>40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ROUND(Y39*Source!I66,7)</f>
        <v>9.6000000000000002E-2</v>
      </c>
      <c r="CY39">
        <f t="shared" si="19"/>
        <v>0</v>
      </c>
      <c r="CZ39">
        <f t="shared" si="20"/>
        <v>0</v>
      </c>
      <c r="DA39">
        <f t="shared" si="21"/>
        <v>1</v>
      </c>
      <c r="DB39">
        <f t="shared" si="13"/>
        <v>0</v>
      </c>
      <c r="DC39">
        <f t="shared" si="14"/>
        <v>0</v>
      </c>
      <c r="DD39" t="s">
        <v>3</v>
      </c>
      <c r="DE39" t="s">
        <v>3</v>
      </c>
      <c r="DF39">
        <f t="shared" ref="DF39:DF67" si="24">ROUND(ROUND(AE39,2)*CX39,2)</f>
        <v>0</v>
      </c>
      <c r="DG39">
        <f t="shared" si="22"/>
        <v>0</v>
      </c>
      <c r="DH39">
        <f t="shared" si="17"/>
        <v>0</v>
      </c>
      <c r="DI39">
        <f t="shared" si="18"/>
        <v>0</v>
      </c>
      <c r="DJ39">
        <f t="shared" si="23"/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ROW(Source!A139)</f>
        <v>139</v>
      </c>
      <c r="B40">
        <v>61625010</v>
      </c>
      <c r="C40">
        <v>61625848</v>
      </c>
      <c r="D40">
        <v>56217421</v>
      </c>
      <c r="E40">
        <v>108</v>
      </c>
      <c r="F40">
        <v>1</v>
      </c>
      <c r="G40">
        <v>1</v>
      </c>
      <c r="H40">
        <v>1</v>
      </c>
      <c r="I40" t="s">
        <v>309</v>
      </c>
      <c r="J40" t="s">
        <v>3</v>
      </c>
      <c r="K40" t="s">
        <v>310</v>
      </c>
      <c r="L40">
        <v>1369</v>
      </c>
      <c r="N40">
        <v>1013</v>
      </c>
      <c r="O40" t="s">
        <v>311</v>
      </c>
      <c r="P40" t="s">
        <v>311</v>
      </c>
      <c r="Q40">
        <v>1</v>
      </c>
      <c r="W40">
        <v>0</v>
      </c>
      <c r="X40">
        <v>286205319</v>
      </c>
      <c r="Y40">
        <f t="shared" si="12"/>
        <v>0.81</v>
      </c>
      <c r="AA40">
        <v>0</v>
      </c>
      <c r="AB40">
        <v>0</v>
      </c>
      <c r="AC40">
        <v>0</v>
      </c>
      <c r="AD40">
        <v>584.69000000000005</v>
      </c>
      <c r="AE40">
        <v>0</v>
      </c>
      <c r="AF40">
        <v>0</v>
      </c>
      <c r="AG40">
        <v>0</v>
      </c>
      <c r="AH40">
        <v>584.69000000000005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0</v>
      </c>
      <c r="AQ40">
        <v>1</v>
      </c>
      <c r="AR40">
        <v>0</v>
      </c>
      <c r="AS40" t="s">
        <v>3</v>
      </c>
      <c r="AT40">
        <v>0.81</v>
      </c>
      <c r="AU40" t="s">
        <v>3</v>
      </c>
      <c r="AV40">
        <v>1</v>
      </c>
      <c r="AW40">
        <v>2</v>
      </c>
      <c r="AX40">
        <v>61625851</v>
      </c>
      <c r="AY40">
        <v>1</v>
      </c>
      <c r="AZ40">
        <v>0</v>
      </c>
      <c r="BA40">
        <v>41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473.59890000000007</v>
      </c>
      <c r="BN40">
        <v>0.81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473.59890000000007</v>
      </c>
      <c r="BU40">
        <v>0.81</v>
      </c>
      <c r="BV40">
        <v>0</v>
      </c>
      <c r="BW40">
        <v>1</v>
      </c>
      <c r="CU40">
        <f>ROUND(AT40*Source!I139*AH40*AL40,2)</f>
        <v>947.2</v>
      </c>
      <c r="CV40">
        <f>ROUND(Y40*Source!I139,7)</f>
        <v>1.62</v>
      </c>
      <c r="CW40">
        <v>0</v>
      </c>
      <c r="CX40">
        <f>ROUND(Y40*Source!I139,7)</f>
        <v>1.62</v>
      </c>
      <c r="CY40">
        <f t="shared" ref="CY40:CY67" si="25">AD40</f>
        <v>584.69000000000005</v>
      </c>
      <c r="CZ40">
        <f t="shared" ref="CZ40:CZ67" si="26">AH40</f>
        <v>584.69000000000005</v>
      </c>
      <c r="DA40">
        <f t="shared" ref="DA40:DA67" si="27">AL40</f>
        <v>1</v>
      </c>
      <c r="DB40">
        <f t="shared" si="13"/>
        <v>473.6</v>
      </c>
      <c r="DC40">
        <f t="shared" si="14"/>
        <v>0</v>
      </c>
      <c r="DD40" t="s">
        <v>3</v>
      </c>
      <c r="DE40" t="s">
        <v>3</v>
      </c>
      <c r="DF40">
        <f t="shared" si="24"/>
        <v>0</v>
      </c>
      <c r="DG40">
        <f t="shared" si="22"/>
        <v>0</v>
      </c>
      <c r="DH40">
        <f t="shared" si="17"/>
        <v>0</v>
      </c>
      <c r="DI40">
        <f t="shared" si="18"/>
        <v>947.2</v>
      </c>
      <c r="DJ40">
        <f t="shared" ref="DJ40:DJ67" si="28">DI40</f>
        <v>947.2</v>
      </c>
      <c r="DK40">
        <v>1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ROW(Source!A139)</f>
        <v>139</v>
      </c>
      <c r="B41">
        <v>61625010</v>
      </c>
      <c r="C41">
        <v>61625848</v>
      </c>
      <c r="D41">
        <v>56217452</v>
      </c>
      <c r="E41">
        <v>108</v>
      </c>
      <c r="F41">
        <v>1</v>
      </c>
      <c r="G41">
        <v>1</v>
      </c>
      <c r="H41">
        <v>1</v>
      </c>
      <c r="I41" t="s">
        <v>312</v>
      </c>
      <c r="J41" t="s">
        <v>3</v>
      </c>
      <c r="K41" t="s">
        <v>313</v>
      </c>
      <c r="L41">
        <v>1369</v>
      </c>
      <c r="N41">
        <v>1013</v>
      </c>
      <c r="O41" t="s">
        <v>311</v>
      </c>
      <c r="P41" t="s">
        <v>311</v>
      </c>
      <c r="Q41">
        <v>1</v>
      </c>
      <c r="W41">
        <v>0</v>
      </c>
      <c r="X41">
        <v>126826561</v>
      </c>
      <c r="Y41">
        <f t="shared" si="12"/>
        <v>0.81</v>
      </c>
      <c r="AA41">
        <v>0</v>
      </c>
      <c r="AB41">
        <v>0</v>
      </c>
      <c r="AC41">
        <v>0</v>
      </c>
      <c r="AD41">
        <v>571.70000000000005</v>
      </c>
      <c r="AE41">
        <v>0</v>
      </c>
      <c r="AF41">
        <v>0</v>
      </c>
      <c r="AG41">
        <v>0</v>
      </c>
      <c r="AH41">
        <v>571.70000000000005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0</v>
      </c>
      <c r="AQ41">
        <v>1</v>
      </c>
      <c r="AR41">
        <v>0</v>
      </c>
      <c r="AS41" t="s">
        <v>3</v>
      </c>
      <c r="AT41">
        <v>0.81</v>
      </c>
      <c r="AU41" t="s">
        <v>3</v>
      </c>
      <c r="AV41">
        <v>1</v>
      </c>
      <c r="AW41">
        <v>2</v>
      </c>
      <c r="AX41">
        <v>61625852</v>
      </c>
      <c r="AY41">
        <v>1</v>
      </c>
      <c r="AZ41">
        <v>0</v>
      </c>
      <c r="BA41">
        <v>42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463.07700000000006</v>
      </c>
      <c r="BN41">
        <v>0.81</v>
      </c>
      <c r="BO41">
        <v>0</v>
      </c>
      <c r="BP41">
        <v>1</v>
      </c>
      <c r="BQ41">
        <v>0</v>
      </c>
      <c r="BR41">
        <v>0</v>
      </c>
      <c r="BS41">
        <v>0</v>
      </c>
      <c r="BT41">
        <v>463.07700000000006</v>
      </c>
      <c r="BU41">
        <v>0.81</v>
      </c>
      <c r="BV41">
        <v>0</v>
      </c>
      <c r="BW41">
        <v>1</v>
      </c>
      <c r="CU41">
        <f>ROUND(AT41*Source!I139*AH41*AL41,2)</f>
        <v>926.15</v>
      </c>
      <c r="CV41">
        <f>ROUND(Y41*Source!I139,7)</f>
        <v>1.62</v>
      </c>
      <c r="CW41">
        <v>0</v>
      </c>
      <c r="CX41">
        <f>ROUND(Y41*Source!I139,7)</f>
        <v>1.62</v>
      </c>
      <c r="CY41">
        <f t="shared" si="25"/>
        <v>571.70000000000005</v>
      </c>
      <c r="CZ41">
        <f t="shared" si="26"/>
        <v>571.70000000000005</v>
      </c>
      <c r="DA41">
        <f t="shared" si="27"/>
        <v>1</v>
      </c>
      <c r="DB41">
        <f t="shared" si="13"/>
        <v>463.08</v>
      </c>
      <c r="DC41">
        <f t="shared" si="14"/>
        <v>0</v>
      </c>
      <c r="DD41" t="s">
        <v>3</v>
      </c>
      <c r="DE41" t="s">
        <v>3</v>
      </c>
      <c r="DF41">
        <f t="shared" si="24"/>
        <v>0</v>
      </c>
      <c r="DG41">
        <f t="shared" si="22"/>
        <v>0</v>
      </c>
      <c r="DH41">
        <f t="shared" si="17"/>
        <v>0</v>
      </c>
      <c r="DI41">
        <f t="shared" si="18"/>
        <v>926.15</v>
      </c>
      <c r="DJ41">
        <f t="shared" si="28"/>
        <v>926.15</v>
      </c>
      <c r="DK41">
        <v>1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ROW(Source!A140)</f>
        <v>140</v>
      </c>
      <c r="B42">
        <v>61625010</v>
      </c>
      <c r="C42">
        <v>61625853</v>
      </c>
      <c r="D42">
        <v>56217415</v>
      </c>
      <c r="E42">
        <v>108</v>
      </c>
      <c r="F42">
        <v>1</v>
      </c>
      <c r="G42">
        <v>1</v>
      </c>
      <c r="H42">
        <v>1</v>
      </c>
      <c r="I42" t="s">
        <v>314</v>
      </c>
      <c r="J42" t="s">
        <v>3</v>
      </c>
      <c r="K42" t="s">
        <v>315</v>
      </c>
      <c r="L42">
        <v>1369</v>
      </c>
      <c r="N42">
        <v>1013</v>
      </c>
      <c r="O42" t="s">
        <v>311</v>
      </c>
      <c r="P42" t="s">
        <v>311</v>
      </c>
      <c r="Q42">
        <v>1</v>
      </c>
      <c r="W42">
        <v>0</v>
      </c>
      <c r="X42">
        <v>-512803540</v>
      </c>
      <c r="Y42">
        <f t="shared" si="12"/>
        <v>4.32</v>
      </c>
      <c r="AA42">
        <v>0</v>
      </c>
      <c r="AB42">
        <v>0</v>
      </c>
      <c r="AC42">
        <v>0</v>
      </c>
      <c r="AD42">
        <v>435.27</v>
      </c>
      <c r="AE42">
        <v>0</v>
      </c>
      <c r="AF42">
        <v>0</v>
      </c>
      <c r="AG42">
        <v>0</v>
      </c>
      <c r="AH42">
        <v>435.27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0</v>
      </c>
      <c r="AQ42">
        <v>1</v>
      </c>
      <c r="AR42">
        <v>0</v>
      </c>
      <c r="AS42" t="s">
        <v>3</v>
      </c>
      <c r="AT42">
        <v>4.32</v>
      </c>
      <c r="AU42" t="s">
        <v>3</v>
      </c>
      <c r="AV42">
        <v>1</v>
      </c>
      <c r="AW42">
        <v>2</v>
      </c>
      <c r="AX42">
        <v>61625857</v>
      </c>
      <c r="AY42">
        <v>1</v>
      </c>
      <c r="AZ42">
        <v>0</v>
      </c>
      <c r="BA42">
        <v>43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1880.3664000000001</v>
      </c>
      <c r="BN42">
        <v>4.32</v>
      </c>
      <c r="BO42">
        <v>0</v>
      </c>
      <c r="BP42">
        <v>1</v>
      </c>
      <c r="BQ42">
        <v>0</v>
      </c>
      <c r="BR42">
        <v>0</v>
      </c>
      <c r="BS42">
        <v>0</v>
      </c>
      <c r="BT42">
        <v>1880.3664000000001</v>
      </c>
      <c r="BU42">
        <v>4.32</v>
      </c>
      <c r="BV42">
        <v>0</v>
      </c>
      <c r="BW42">
        <v>1</v>
      </c>
      <c r="CU42">
        <f>ROUND(AT42*Source!I140*AH42*AL42,2)</f>
        <v>3760.73</v>
      </c>
      <c r="CV42">
        <f>ROUND(Y42*Source!I140,7)</f>
        <v>8.64</v>
      </c>
      <c r="CW42">
        <v>0</v>
      </c>
      <c r="CX42">
        <f>ROUND(Y42*Source!I140,7)</f>
        <v>8.64</v>
      </c>
      <c r="CY42">
        <f t="shared" si="25"/>
        <v>435.27</v>
      </c>
      <c r="CZ42">
        <f t="shared" si="26"/>
        <v>435.27</v>
      </c>
      <c r="DA42">
        <f t="shared" si="27"/>
        <v>1</v>
      </c>
      <c r="DB42">
        <f t="shared" si="13"/>
        <v>1880.37</v>
      </c>
      <c r="DC42">
        <f t="shared" si="14"/>
        <v>0</v>
      </c>
      <c r="DD42" t="s">
        <v>3</v>
      </c>
      <c r="DE42" t="s">
        <v>3</v>
      </c>
      <c r="DF42">
        <f t="shared" si="24"/>
        <v>0</v>
      </c>
      <c r="DG42">
        <f t="shared" si="22"/>
        <v>0</v>
      </c>
      <c r="DH42">
        <f t="shared" si="17"/>
        <v>0</v>
      </c>
      <c r="DI42">
        <f t="shared" si="18"/>
        <v>3760.73</v>
      </c>
      <c r="DJ42">
        <f t="shared" si="28"/>
        <v>3760.73</v>
      </c>
      <c r="DK42">
        <v>1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ROW(Source!A140)</f>
        <v>140</v>
      </c>
      <c r="B43">
        <v>61625010</v>
      </c>
      <c r="C43">
        <v>61625853</v>
      </c>
      <c r="D43">
        <v>56217437</v>
      </c>
      <c r="E43">
        <v>108</v>
      </c>
      <c r="F43">
        <v>1</v>
      </c>
      <c r="G43">
        <v>1</v>
      </c>
      <c r="H43">
        <v>1</v>
      </c>
      <c r="I43" t="s">
        <v>316</v>
      </c>
      <c r="J43" t="s">
        <v>3</v>
      </c>
      <c r="K43" t="s">
        <v>317</v>
      </c>
      <c r="L43">
        <v>1369</v>
      </c>
      <c r="N43">
        <v>1013</v>
      </c>
      <c r="O43" t="s">
        <v>311</v>
      </c>
      <c r="P43" t="s">
        <v>311</v>
      </c>
      <c r="Q43">
        <v>1</v>
      </c>
      <c r="W43">
        <v>0</v>
      </c>
      <c r="X43">
        <v>-1275334932</v>
      </c>
      <c r="Y43">
        <f t="shared" si="12"/>
        <v>4.32</v>
      </c>
      <c r="AA43">
        <v>0</v>
      </c>
      <c r="AB43">
        <v>0</v>
      </c>
      <c r="AC43">
        <v>0</v>
      </c>
      <c r="AD43">
        <v>415.78</v>
      </c>
      <c r="AE43">
        <v>0</v>
      </c>
      <c r="AF43">
        <v>0</v>
      </c>
      <c r="AG43">
        <v>0</v>
      </c>
      <c r="AH43">
        <v>415.78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0</v>
      </c>
      <c r="AQ43">
        <v>1</v>
      </c>
      <c r="AR43">
        <v>0</v>
      </c>
      <c r="AS43" t="s">
        <v>3</v>
      </c>
      <c r="AT43">
        <v>4.32</v>
      </c>
      <c r="AU43" t="s">
        <v>3</v>
      </c>
      <c r="AV43">
        <v>1</v>
      </c>
      <c r="AW43">
        <v>2</v>
      </c>
      <c r="AX43">
        <v>61625858</v>
      </c>
      <c r="AY43">
        <v>1</v>
      </c>
      <c r="AZ43">
        <v>0</v>
      </c>
      <c r="BA43">
        <v>44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1796.1695999999999</v>
      </c>
      <c r="BN43">
        <v>4.32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1796.1695999999999</v>
      </c>
      <c r="BU43">
        <v>4.32</v>
      </c>
      <c r="BV43">
        <v>0</v>
      </c>
      <c r="BW43">
        <v>1</v>
      </c>
      <c r="CU43">
        <f>ROUND(AT43*Source!I140*AH43*AL43,2)</f>
        <v>3592.34</v>
      </c>
      <c r="CV43">
        <f>ROUND(Y43*Source!I140,7)</f>
        <v>8.64</v>
      </c>
      <c r="CW43">
        <v>0</v>
      </c>
      <c r="CX43">
        <f>ROUND(Y43*Source!I140,7)</f>
        <v>8.64</v>
      </c>
      <c r="CY43">
        <f t="shared" si="25"/>
        <v>415.78</v>
      </c>
      <c r="CZ43">
        <f t="shared" si="26"/>
        <v>415.78</v>
      </c>
      <c r="DA43">
        <f t="shared" si="27"/>
        <v>1</v>
      </c>
      <c r="DB43">
        <f t="shared" si="13"/>
        <v>1796.17</v>
      </c>
      <c r="DC43">
        <f t="shared" si="14"/>
        <v>0</v>
      </c>
      <c r="DD43" t="s">
        <v>3</v>
      </c>
      <c r="DE43" t="s">
        <v>3</v>
      </c>
      <c r="DF43">
        <f t="shared" si="24"/>
        <v>0</v>
      </c>
      <c r="DG43">
        <f t="shared" si="22"/>
        <v>0</v>
      </c>
      <c r="DH43">
        <f t="shared" si="17"/>
        <v>0</v>
      </c>
      <c r="DI43">
        <f t="shared" si="18"/>
        <v>3592.34</v>
      </c>
      <c r="DJ43">
        <f t="shared" si="28"/>
        <v>3592.34</v>
      </c>
      <c r="DK43">
        <v>1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ROW(Source!A140)</f>
        <v>140</v>
      </c>
      <c r="B44">
        <v>61625010</v>
      </c>
      <c r="C44">
        <v>61625853</v>
      </c>
      <c r="D44">
        <v>56217448</v>
      </c>
      <c r="E44">
        <v>108</v>
      </c>
      <c r="F44">
        <v>1</v>
      </c>
      <c r="G44">
        <v>1</v>
      </c>
      <c r="H44">
        <v>1</v>
      </c>
      <c r="I44" t="s">
        <v>318</v>
      </c>
      <c r="J44" t="s">
        <v>3</v>
      </c>
      <c r="K44" t="s">
        <v>319</v>
      </c>
      <c r="L44">
        <v>1369</v>
      </c>
      <c r="N44">
        <v>1013</v>
      </c>
      <c r="O44" t="s">
        <v>311</v>
      </c>
      <c r="P44" t="s">
        <v>311</v>
      </c>
      <c r="Q44">
        <v>1</v>
      </c>
      <c r="W44">
        <v>0</v>
      </c>
      <c r="X44">
        <v>-2140504649</v>
      </c>
      <c r="Y44">
        <f t="shared" si="12"/>
        <v>12.96</v>
      </c>
      <c r="AA44">
        <v>0</v>
      </c>
      <c r="AB44">
        <v>0</v>
      </c>
      <c r="AC44">
        <v>0</v>
      </c>
      <c r="AD44">
        <v>636.66999999999996</v>
      </c>
      <c r="AE44">
        <v>0</v>
      </c>
      <c r="AF44">
        <v>0</v>
      </c>
      <c r="AG44">
        <v>0</v>
      </c>
      <c r="AH44">
        <v>636.66999999999996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0</v>
      </c>
      <c r="AQ44">
        <v>1</v>
      </c>
      <c r="AR44">
        <v>0</v>
      </c>
      <c r="AS44" t="s">
        <v>3</v>
      </c>
      <c r="AT44">
        <v>12.96</v>
      </c>
      <c r="AU44" t="s">
        <v>3</v>
      </c>
      <c r="AV44">
        <v>1</v>
      </c>
      <c r="AW44">
        <v>2</v>
      </c>
      <c r="AX44">
        <v>61625859</v>
      </c>
      <c r="AY44">
        <v>1</v>
      </c>
      <c r="AZ44">
        <v>0</v>
      </c>
      <c r="BA44">
        <v>45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8251.2432000000008</v>
      </c>
      <c r="BN44">
        <v>12.96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8251.2432000000008</v>
      </c>
      <c r="BU44">
        <v>12.96</v>
      </c>
      <c r="BV44">
        <v>0</v>
      </c>
      <c r="BW44">
        <v>1</v>
      </c>
      <c r="CU44">
        <f>ROUND(AT44*Source!I140*AH44*AL44,2)</f>
        <v>16502.490000000002</v>
      </c>
      <c r="CV44">
        <f>ROUND(Y44*Source!I140,7)</f>
        <v>25.92</v>
      </c>
      <c r="CW44">
        <v>0</v>
      </c>
      <c r="CX44">
        <f>ROUND(Y44*Source!I140,7)</f>
        <v>25.92</v>
      </c>
      <c r="CY44">
        <f t="shared" si="25"/>
        <v>636.66999999999996</v>
      </c>
      <c r="CZ44">
        <f t="shared" si="26"/>
        <v>636.66999999999996</v>
      </c>
      <c r="DA44">
        <f t="shared" si="27"/>
        <v>1</v>
      </c>
      <c r="DB44">
        <f t="shared" si="13"/>
        <v>8251.24</v>
      </c>
      <c r="DC44">
        <f t="shared" si="14"/>
        <v>0</v>
      </c>
      <c r="DD44" t="s">
        <v>3</v>
      </c>
      <c r="DE44" t="s">
        <v>3</v>
      </c>
      <c r="DF44">
        <f t="shared" si="24"/>
        <v>0</v>
      </c>
      <c r="DG44">
        <f t="shared" si="22"/>
        <v>0</v>
      </c>
      <c r="DH44">
        <f t="shared" si="17"/>
        <v>0</v>
      </c>
      <c r="DI44">
        <f t="shared" si="18"/>
        <v>16502.490000000002</v>
      </c>
      <c r="DJ44">
        <f t="shared" si="28"/>
        <v>16502.490000000002</v>
      </c>
      <c r="DK44">
        <v>1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ROW(Source!A141)</f>
        <v>141</v>
      </c>
      <c r="B45">
        <v>61625010</v>
      </c>
      <c r="C45">
        <v>61625860</v>
      </c>
      <c r="D45">
        <v>56217415</v>
      </c>
      <c r="E45">
        <v>108</v>
      </c>
      <c r="F45">
        <v>1</v>
      </c>
      <c r="G45">
        <v>1</v>
      </c>
      <c r="H45">
        <v>1</v>
      </c>
      <c r="I45" t="s">
        <v>314</v>
      </c>
      <c r="J45" t="s">
        <v>3</v>
      </c>
      <c r="K45" t="s">
        <v>315</v>
      </c>
      <c r="L45">
        <v>1369</v>
      </c>
      <c r="N45">
        <v>1013</v>
      </c>
      <c r="O45" t="s">
        <v>311</v>
      </c>
      <c r="P45" t="s">
        <v>311</v>
      </c>
      <c r="Q45">
        <v>1</v>
      </c>
      <c r="W45">
        <v>0</v>
      </c>
      <c r="X45">
        <v>-512803540</v>
      </c>
      <c r="Y45">
        <f t="shared" si="12"/>
        <v>1.08</v>
      </c>
      <c r="AA45">
        <v>0</v>
      </c>
      <c r="AB45">
        <v>0</v>
      </c>
      <c r="AC45">
        <v>0</v>
      </c>
      <c r="AD45">
        <v>435.27</v>
      </c>
      <c r="AE45">
        <v>0</v>
      </c>
      <c r="AF45">
        <v>0</v>
      </c>
      <c r="AG45">
        <v>0</v>
      </c>
      <c r="AH45">
        <v>435.27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0</v>
      </c>
      <c r="AP45">
        <v>0</v>
      </c>
      <c r="AQ45">
        <v>1</v>
      </c>
      <c r="AR45">
        <v>0</v>
      </c>
      <c r="AS45" t="s">
        <v>3</v>
      </c>
      <c r="AT45">
        <v>1.08</v>
      </c>
      <c r="AU45" t="s">
        <v>3</v>
      </c>
      <c r="AV45">
        <v>1</v>
      </c>
      <c r="AW45">
        <v>2</v>
      </c>
      <c r="AX45">
        <v>61625864</v>
      </c>
      <c r="AY45">
        <v>1</v>
      </c>
      <c r="AZ45">
        <v>0</v>
      </c>
      <c r="BA45">
        <v>46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470.09160000000003</v>
      </c>
      <c r="BN45">
        <v>1.08</v>
      </c>
      <c r="BO45">
        <v>0</v>
      </c>
      <c r="BP45">
        <v>1</v>
      </c>
      <c r="BQ45">
        <v>0</v>
      </c>
      <c r="BR45">
        <v>0</v>
      </c>
      <c r="BS45">
        <v>0</v>
      </c>
      <c r="BT45">
        <v>470.09160000000003</v>
      </c>
      <c r="BU45">
        <v>1.08</v>
      </c>
      <c r="BV45">
        <v>0</v>
      </c>
      <c r="BW45">
        <v>1</v>
      </c>
      <c r="CU45">
        <f>ROUND(AT45*Source!I141*AH45*AL45,2)</f>
        <v>2820.55</v>
      </c>
      <c r="CV45">
        <f>ROUND(Y45*Source!I141,7)</f>
        <v>6.48</v>
      </c>
      <c r="CW45">
        <v>0</v>
      </c>
      <c r="CX45">
        <f>ROUND(Y45*Source!I141,7)</f>
        <v>6.48</v>
      </c>
      <c r="CY45">
        <f t="shared" si="25"/>
        <v>435.27</v>
      </c>
      <c r="CZ45">
        <f t="shared" si="26"/>
        <v>435.27</v>
      </c>
      <c r="DA45">
        <f t="shared" si="27"/>
        <v>1</v>
      </c>
      <c r="DB45">
        <f t="shared" si="13"/>
        <v>470.09</v>
      </c>
      <c r="DC45">
        <f t="shared" si="14"/>
        <v>0</v>
      </c>
      <c r="DD45" t="s">
        <v>3</v>
      </c>
      <c r="DE45" t="s">
        <v>3</v>
      </c>
      <c r="DF45">
        <f t="shared" si="24"/>
        <v>0</v>
      </c>
      <c r="DG45">
        <f t="shared" si="22"/>
        <v>0</v>
      </c>
      <c r="DH45">
        <f t="shared" si="17"/>
        <v>0</v>
      </c>
      <c r="DI45">
        <f t="shared" si="18"/>
        <v>2820.55</v>
      </c>
      <c r="DJ45">
        <f t="shared" si="28"/>
        <v>2820.55</v>
      </c>
      <c r="DK45">
        <v>1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ROW(Source!A141)</f>
        <v>141</v>
      </c>
      <c r="B46">
        <v>61625010</v>
      </c>
      <c r="C46">
        <v>61625860</v>
      </c>
      <c r="D46">
        <v>56217437</v>
      </c>
      <c r="E46">
        <v>108</v>
      </c>
      <c r="F46">
        <v>1</v>
      </c>
      <c r="G46">
        <v>1</v>
      </c>
      <c r="H46">
        <v>1</v>
      </c>
      <c r="I46" t="s">
        <v>316</v>
      </c>
      <c r="J46" t="s">
        <v>3</v>
      </c>
      <c r="K46" t="s">
        <v>317</v>
      </c>
      <c r="L46">
        <v>1369</v>
      </c>
      <c r="N46">
        <v>1013</v>
      </c>
      <c r="O46" t="s">
        <v>311</v>
      </c>
      <c r="P46" t="s">
        <v>311</v>
      </c>
      <c r="Q46">
        <v>1</v>
      </c>
      <c r="W46">
        <v>0</v>
      </c>
      <c r="X46">
        <v>-1275334932</v>
      </c>
      <c r="Y46">
        <f t="shared" si="12"/>
        <v>1.08</v>
      </c>
      <c r="AA46">
        <v>0</v>
      </c>
      <c r="AB46">
        <v>0</v>
      </c>
      <c r="AC46">
        <v>0</v>
      </c>
      <c r="AD46">
        <v>415.78</v>
      </c>
      <c r="AE46">
        <v>0</v>
      </c>
      <c r="AF46">
        <v>0</v>
      </c>
      <c r="AG46">
        <v>0</v>
      </c>
      <c r="AH46">
        <v>415.78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1.08</v>
      </c>
      <c r="AU46" t="s">
        <v>3</v>
      </c>
      <c r="AV46">
        <v>1</v>
      </c>
      <c r="AW46">
        <v>2</v>
      </c>
      <c r="AX46">
        <v>61625865</v>
      </c>
      <c r="AY46">
        <v>1</v>
      </c>
      <c r="AZ46">
        <v>0</v>
      </c>
      <c r="BA46">
        <v>47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449.04239999999999</v>
      </c>
      <c r="BN46">
        <v>1.08</v>
      </c>
      <c r="BO46">
        <v>0</v>
      </c>
      <c r="BP46">
        <v>1</v>
      </c>
      <c r="BQ46">
        <v>0</v>
      </c>
      <c r="BR46">
        <v>0</v>
      </c>
      <c r="BS46">
        <v>0</v>
      </c>
      <c r="BT46">
        <v>449.04239999999999</v>
      </c>
      <c r="BU46">
        <v>1.08</v>
      </c>
      <c r="BV46">
        <v>0</v>
      </c>
      <c r="BW46">
        <v>1</v>
      </c>
      <c r="CU46">
        <f>ROUND(AT46*Source!I141*AH46*AL46,2)</f>
        <v>2694.25</v>
      </c>
      <c r="CV46">
        <f>ROUND(Y46*Source!I141,7)</f>
        <v>6.48</v>
      </c>
      <c r="CW46">
        <v>0</v>
      </c>
      <c r="CX46">
        <f>ROUND(Y46*Source!I141,7)</f>
        <v>6.48</v>
      </c>
      <c r="CY46">
        <f t="shared" si="25"/>
        <v>415.78</v>
      </c>
      <c r="CZ46">
        <f t="shared" si="26"/>
        <v>415.78</v>
      </c>
      <c r="DA46">
        <f t="shared" si="27"/>
        <v>1</v>
      </c>
      <c r="DB46">
        <f t="shared" si="13"/>
        <v>449.04</v>
      </c>
      <c r="DC46">
        <f t="shared" si="14"/>
        <v>0</v>
      </c>
      <c r="DD46" t="s">
        <v>3</v>
      </c>
      <c r="DE46" t="s">
        <v>3</v>
      </c>
      <c r="DF46">
        <f t="shared" si="24"/>
        <v>0</v>
      </c>
      <c r="DG46">
        <f t="shared" si="22"/>
        <v>0</v>
      </c>
      <c r="DH46">
        <f t="shared" si="17"/>
        <v>0</v>
      </c>
      <c r="DI46">
        <f t="shared" si="18"/>
        <v>2694.25</v>
      </c>
      <c r="DJ46">
        <f t="shared" si="28"/>
        <v>2694.25</v>
      </c>
      <c r="DK46">
        <v>1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ROW(Source!A141)</f>
        <v>141</v>
      </c>
      <c r="B47">
        <v>61625010</v>
      </c>
      <c r="C47">
        <v>61625860</v>
      </c>
      <c r="D47">
        <v>56217448</v>
      </c>
      <c r="E47">
        <v>108</v>
      </c>
      <c r="F47">
        <v>1</v>
      </c>
      <c r="G47">
        <v>1</v>
      </c>
      <c r="H47">
        <v>1</v>
      </c>
      <c r="I47" t="s">
        <v>318</v>
      </c>
      <c r="J47" t="s">
        <v>3</v>
      </c>
      <c r="K47" t="s">
        <v>319</v>
      </c>
      <c r="L47">
        <v>1369</v>
      </c>
      <c r="N47">
        <v>1013</v>
      </c>
      <c r="O47" t="s">
        <v>311</v>
      </c>
      <c r="P47" t="s">
        <v>311</v>
      </c>
      <c r="Q47">
        <v>1</v>
      </c>
      <c r="W47">
        <v>0</v>
      </c>
      <c r="X47">
        <v>-2140504649</v>
      </c>
      <c r="Y47">
        <f t="shared" si="12"/>
        <v>3.24</v>
      </c>
      <c r="AA47">
        <v>0</v>
      </c>
      <c r="AB47">
        <v>0</v>
      </c>
      <c r="AC47">
        <v>0</v>
      </c>
      <c r="AD47">
        <v>636.66999999999996</v>
      </c>
      <c r="AE47">
        <v>0</v>
      </c>
      <c r="AF47">
        <v>0</v>
      </c>
      <c r="AG47">
        <v>0</v>
      </c>
      <c r="AH47">
        <v>636.66999999999996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0</v>
      </c>
      <c r="AQ47">
        <v>1</v>
      </c>
      <c r="AR47">
        <v>0</v>
      </c>
      <c r="AS47" t="s">
        <v>3</v>
      </c>
      <c r="AT47">
        <v>3.24</v>
      </c>
      <c r="AU47" t="s">
        <v>3</v>
      </c>
      <c r="AV47">
        <v>1</v>
      </c>
      <c r="AW47">
        <v>2</v>
      </c>
      <c r="AX47">
        <v>61625866</v>
      </c>
      <c r="AY47">
        <v>1</v>
      </c>
      <c r="AZ47">
        <v>0</v>
      </c>
      <c r="BA47">
        <v>48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2062.8108000000002</v>
      </c>
      <c r="BN47">
        <v>3.24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2062.8108000000002</v>
      </c>
      <c r="BU47">
        <v>3.24</v>
      </c>
      <c r="BV47">
        <v>0</v>
      </c>
      <c r="BW47">
        <v>1</v>
      </c>
      <c r="CU47">
        <f>ROUND(AT47*Source!I141*AH47*AL47,2)</f>
        <v>12376.86</v>
      </c>
      <c r="CV47">
        <f>ROUND(Y47*Source!I141,7)</f>
        <v>19.440000000000001</v>
      </c>
      <c r="CW47">
        <v>0</v>
      </c>
      <c r="CX47">
        <f>ROUND(Y47*Source!I141,7)</f>
        <v>19.440000000000001</v>
      </c>
      <c r="CY47">
        <f t="shared" si="25"/>
        <v>636.66999999999996</v>
      </c>
      <c r="CZ47">
        <f t="shared" si="26"/>
        <v>636.66999999999996</v>
      </c>
      <c r="DA47">
        <f t="shared" si="27"/>
        <v>1</v>
      </c>
      <c r="DB47">
        <f t="shared" si="13"/>
        <v>2062.81</v>
      </c>
      <c r="DC47">
        <f t="shared" si="14"/>
        <v>0</v>
      </c>
      <c r="DD47" t="s">
        <v>3</v>
      </c>
      <c r="DE47" t="s">
        <v>3</v>
      </c>
      <c r="DF47">
        <f t="shared" si="24"/>
        <v>0</v>
      </c>
      <c r="DG47">
        <f t="shared" si="22"/>
        <v>0</v>
      </c>
      <c r="DH47">
        <f t="shared" si="17"/>
        <v>0</v>
      </c>
      <c r="DI47">
        <f t="shared" si="18"/>
        <v>12376.86</v>
      </c>
      <c r="DJ47">
        <f t="shared" si="28"/>
        <v>12376.86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ROW(Source!A142)</f>
        <v>142</v>
      </c>
      <c r="B48">
        <v>61625010</v>
      </c>
      <c r="C48">
        <v>61625897</v>
      </c>
      <c r="D48">
        <v>56217415</v>
      </c>
      <c r="E48">
        <v>108</v>
      </c>
      <c r="F48">
        <v>1</v>
      </c>
      <c r="G48">
        <v>1</v>
      </c>
      <c r="H48">
        <v>1</v>
      </c>
      <c r="I48" t="s">
        <v>314</v>
      </c>
      <c r="J48" t="s">
        <v>3</v>
      </c>
      <c r="K48" t="s">
        <v>315</v>
      </c>
      <c r="L48">
        <v>1369</v>
      </c>
      <c r="N48">
        <v>1013</v>
      </c>
      <c r="O48" t="s">
        <v>311</v>
      </c>
      <c r="P48" t="s">
        <v>311</v>
      </c>
      <c r="Q48">
        <v>1</v>
      </c>
      <c r="W48">
        <v>0</v>
      </c>
      <c r="X48">
        <v>-512803540</v>
      </c>
      <c r="Y48">
        <f t="shared" si="12"/>
        <v>2.92</v>
      </c>
      <c r="AA48">
        <v>0</v>
      </c>
      <c r="AB48">
        <v>0</v>
      </c>
      <c r="AC48">
        <v>0</v>
      </c>
      <c r="AD48">
        <v>435.27</v>
      </c>
      <c r="AE48">
        <v>0</v>
      </c>
      <c r="AF48">
        <v>0</v>
      </c>
      <c r="AG48">
        <v>0</v>
      </c>
      <c r="AH48">
        <v>435.27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0</v>
      </c>
      <c r="AQ48">
        <v>1</v>
      </c>
      <c r="AR48">
        <v>0</v>
      </c>
      <c r="AS48" t="s">
        <v>3</v>
      </c>
      <c r="AT48">
        <v>2.92</v>
      </c>
      <c r="AU48" t="s">
        <v>3</v>
      </c>
      <c r="AV48">
        <v>1</v>
      </c>
      <c r="AW48">
        <v>2</v>
      </c>
      <c r="AX48">
        <v>61625900</v>
      </c>
      <c r="AY48">
        <v>1</v>
      </c>
      <c r="AZ48">
        <v>0</v>
      </c>
      <c r="BA48">
        <v>49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1270.9884</v>
      </c>
      <c r="BN48">
        <v>2.92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1270.9884</v>
      </c>
      <c r="BU48">
        <v>2.92</v>
      </c>
      <c r="BV48">
        <v>0</v>
      </c>
      <c r="BW48">
        <v>1</v>
      </c>
      <c r="CU48">
        <f>ROUND(AT48*Source!I142*AH48*AL48,2)</f>
        <v>7625.93</v>
      </c>
      <c r="CV48">
        <f>ROUND(Y48*Source!I142,7)</f>
        <v>17.52</v>
      </c>
      <c r="CW48">
        <v>0</v>
      </c>
      <c r="CX48">
        <f>ROUND(Y48*Source!I142,7)</f>
        <v>17.52</v>
      </c>
      <c r="CY48">
        <f t="shared" si="25"/>
        <v>435.27</v>
      </c>
      <c r="CZ48">
        <f t="shared" si="26"/>
        <v>435.27</v>
      </c>
      <c r="DA48">
        <f t="shared" si="27"/>
        <v>1</v>
      </c>
      <c r="DB48">
        <f t="shared" si="13"/>
        <v>1270.99</v>
      </c>
      <c r="DC48">
        <f t="shared" si="14"/>
        <v>0</v>
      </c>
      <c r="DD48" t="s">
        <v>3</v>
      </c>
      <c r="DE48" t="s">
        <v>3</v>
      </c>
      <c r="DF48">
        <f t="shared" si="24"/>
        <v>0</v>
      </c>
      <c r="DG48">
        <f t="shared" si="22"/>
        <v>0</v>
      </c>
      <c r="DH48">
        <f t="shared" si="17"/>
        <v>0</v>
      </c>
      <c r="DI48">
        <f t="shared" si="18"/>
        <v>7625.93</v>
      </c>
      <c r="DJ48">
        <f t="shared" si="28"/>
        <v>7625.93</v>
      </c>
      <c r="DK48">
        <v>1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ROW(Source!A142)</f>
        <v>142</v>
      </c>
      <c r="B49">
        <v>61625010</v>
      </c>
      <c r="C49">
        <v>61625897</v>
      </c>
      <c r="D49">
        <v>56217452</v>
      </c>
      <c r="E49">
        <v>108</v>
      </c>
      <c r="F49">
        <v>1</v>
      </c>
      <c r="G49">
        <v>1</v>
      </c>
      <c r="H49">
        <v>1</v>
      </c>
      <c r="I49" t="s">
        <v>312</v>
      </c>
      <c r="J49" t="s">
        <v>3</v>
      </c>
      <c r="K49" t="s">
        <v>313</v>
      </c>
      <c r="L49">
        <v>1369</v>
      </c>
      <c r="N49">
        <v>1013</v>
      </c>
      <c r="O49" t="s">
        <v>311</v>
      </c>
      <c r="P49" t="s">
        <v>311</v>
      </c>
      <c r="Q49">
        <v>1</v>
      </c>
      <c r="W49">
        <v>0</v>
      </c>
      <c r="X49">
        <v>126826561</v>
      </c>
      <c r="Y49">
        <f t="shared" si="12"/>
        <v>4.37</v>
      </c>
      <c r="AA49">
        <v>0</v>
      </c>
      <c r="AB49">
        <v>0</v>
      </c>
      <c r="AC49">
        <v>0</v>
      </c>
      <c r="AD49">
        <v>571.70000000000005</v>
      </c>
      <c r="AE49">
        <v>0</v>
      </c>
      <c r="AF49">
        <v>0</v>
      </c>
      <c r="AG49">
        <v>0</v>
      </c>
      <c r="AH49">
        <v>571.70000000000005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0</v>
      </c>
      <c r="AQ49">
        <v>1</v>
      </c>
      <c r="AR49">
        <v>0</v>
      </c>
      <c r="AS49" t="s">
        <v>3</v>
      </c>
      <c r="AT49">
        <v>4.37</v>
      </c>
      <c r="AU49" t="s">
        <v>3</v>
      </c>
      <c r="AV49">
        <v>1</v>
      </c>
      <c r="AW49">
        <v>2</v>
      </c>
      <c r="AX49">
        <v>61625901</v>
      </c>
      <c r="AY49">
        <v>1</v>
      </c>
      <c r="AZ49">
        <v>0</v>
      </c>
      <c r="BA49">
        <v>50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2498.3290000000002</v>
      </c>
      <c r="BN49">
        <v>4.37</v>
      </c>
      <c r="BO49">
        <v>0</v>
      </c>
      <c r="BP49">
        <v>1</v>
      </c>
      <c r="BQ49">
        <v>0</v>
      </c>
      <c r="BR49">
        <v>0</v>
      </c>
      <c r="BS49">
        <v>0</v>
      </c>
      <c r="BT49">
        <v>2498.3290000000002</v>
      </c>
      <c r="BU49">
        <v>4.37</v>
      </c>
      <c r="BV49">
        <v>0</v>
      </c>
      <c r="BW49">
        <v>1</v>
      </c>
      <c r="CU49">
        <f>ROUND(AT49*Source!I142*AH49*AL49,2)</f>
        <v>14989.97</v>
      </c>
      <c r="CV49">
        <f>ROUND(Y49*Source!I142,7)</f>
        <v>26.22</v>
      </c>
      <c r="CW49">
        <v>0</v>
      </c>
      <c r="CX49">
        <f>ROUND(Y49*Source!I142,7)</f>
        <v>26.22</v>
      </c>
      <c r="CY49">
        <f t="shared" si="25"/>
        <v>571.70000000000005</v>
      </c>
      <c r="CZ49">
        <f t="shared" si="26"/>
        <v>571.70000000000005</v>
      </c>
      <c r="DA49">
        <f t="shared" si="27"/>
        <v>1</v>
      </c>
      <c r="DB49">
        <f t="shared" si="13"/>
        <v>2498.33</v>
      </c>
      <c r="DC49">
        <f t="shared" si="14"/>
        <v>0</v>
      </c>
      <c r="DD49" t="s">
        <v>3</v>
      </c>
      <c r="DE49" t="s">
        <v>3</v>
      </c>
      <c r="DF49">
        <f t="shared" si="24"/>
        <v>0</v>
      </c>
      <c r="DG49">
        <f t="shared" si="22"/>
        <v>0</v>
      </c>
      <c r="DH49">
        <f t="shared" si="17"/>
        <v>0</v>
      </c>
      <c r="DI49">
        <f t="shared" si="18"/>
        <v>14989.97</v>
      </c>
      <c r="DJ49">
        <f t="shared" si="28"/>
        <v>14989.97</v>
      </c>
      <c r="DK49">
        <v>1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ROW(Source!A143)</f>
        <v>143</v>
      </c>
      <c r="B50">
        <v>61625010</v>
      </c>
      <c r="C50">
        <v>61625902</v>
      </c>
      <c r="D50">
        <v>56217437</v>
      </c>
      <c r="E50">
        <v>108</v>
      </c>
      <c r="F50">
        <v>1</v>
      </c>
      <c r="G50">
        <v>1</v>
      </c>
      <c r="H50">
        <v>1</v>
      </c>
      <c r="I50" t="s">
        <v>316</v>
      </c>
      <c r="J50" t="s">
        <v>3</v>
      </c>
      <c r="K50" t="s">
        <v>317</v>
      </c>
      <c r="L50">
        <v>1369</v>
      </c>
      <c r="N50">
        <v>1013</v>
      </c>
      <c r="O50" t="s">
        <v>311</v>
      </c>
      <c r="P50" t="s">
        <v>311</v>
      </c>
      <c r="Q50">
        <v>1</v>
      </c>
      <c r="W50">
        <v>0</v>
      </c>
      <c r="X50">
        <v>-1275334932</v>
      </c>
      <c r="Y50">
        <f t="shared" si="12"/>
        <v>4.0999999999999996</v>
      </c>
      <c r="AA50">
        <v>0</v>
      </c>
      <c r="AB50">
        <v>0</v>
      </c>
      <c r="AC50">
        <v>0</v>
      </c>
      <c r="AD50">
        <v>415.78</v>
      </c>
      <c r="AE50">
        <v>0</v>
      </c>
      <c r="AF50">
        <v>0</v>
      </c>
      <c r="AG50">
        <v>0</v>
      </c>
      <c r="AH50">
        <v>415.78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4.0999999999999996</v>
      </c>
      <c r="AU50" t="s">
        <v>3</v>
      </c>
      <c r="AV50">
        <v>1</v>
      </c>
      <c r="AW50">
        <v>2</v>
      </c>
      <c r="AX50">
        <v>61625905</v>
      </c>
      <c r="AY50">
        <v>1</v>
      </c>
      <c r="AZ50">
        <v>0</v>
      </c>
      <c r="BA50">
        <v>51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1704.6979999999996</v>
      </c>
      <c r="BN50">
        <v>4.0999999999999996</v>
      </c>
      <c r="BO50">
        <v>0</v>
      </c>
      <c r="BP50">
        <v>1</v>
      </c>
      <c r="BQ50">
        <v>0</v>
      </c>
      <c r="BR50">
        <v>0</v>
      </c>
      <c r="BS50">
        <v>0</v>
      </c>
      <c r="BT50">
        <v>1704.6979999999996</v>
      </c>
      <c r="BU50">
        <v>4.0999999999999996</v>
      </c>
      <c r="BV50">
        <v>0</v>
      </c>
      <c r="BW50">
        <v>1</v>
      </c>
      <c r="CU50">
        <f>ROUND(AT50*Source!I143*AH50*AL50,2)</f>
        <v>3409.4</v>
      </c>
      <c r="CV50">
        <f>ROUND(Y50*Source!I143,7)</f>
        <v>8.1999999999999993</v>
      </c>
      <c r="CW50">
        <v>0</v>
      </c>
      <c r="CX50">
        <f>ROUND(Y50*Source!I143,7)</f>
        <v>8.1999999999999993</v>
      </c>
      <c r="CY50">
        <f t="shared" si="25"/>
        <v>415.78</v>
      </c>
      <c r="CZ50">
        <f t="shared" si="26"/>
        <v>415.78</v>
      </c>
      <c r="DA50">
        <f t="shared" si="27"/>
        <v>1</v>
      </c>
      <c r="DB50">
        <f t="shared" si="13"/>
        <v>1704.7</v>
      </c>
      <c r="DC50">
        <f t="shared" si="14"/>
        <v>0</v>
      </c>
      <c r="DD50" t="s">
        <v>3</v>
      </c>
      <c r="DE50" t="s">
        <v>3</v>
      </c>
      <c r="DF50">
        <f t="shared" si="24"/>
        <v>0</v>
      </c>
      <c r="DG50">
        <f t="shared" si="22"/>
        <v>0</v>
      </c>
      <c r="DH50">
        <f t="shared" si="17"/>
        <v>0</v>
      </c>
      <c r="DI50">
        <f t="shared" si="18"/>
        <v>3409.4</v>
      </c>
      <c r="DJ50">
        <f t="shared" si="28"/>
        <v>3409.4</v>
      </c>
      <c r="DK50">
        <v>1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ROW(Source!A143)</f>
        <v>143</v>
      </c>
      <c r="B51">
        <v>61625010</v>
      </c>
      <c r="C51">
        <v>61625902</v>
      </c>
      <c r="D51">
        <v>56217448</v>
      </c>
      <c r="E51">
        <v>108</v>
      </c>
      <c r="F51">
        <v>1</v>
      </c>
      <c r="G51">
        <v>1</v>
      </c>
      <c r="H51">
        <v>1</v>
      </c>
      <c r="I51" t="s">
        <v>318</v>
      </c>
      <c r="J51" t="s">
        <v>3</v>
      </c>
      <c r="K51" t="s">
        <v>319</v>
      </c>
      <c r="L51">
        <v>1369</v>
      </c>
      <c r="N51">
        <v>1013</v>
      </c>
      <c r="O51" t="s">
        <v>311</v>
      </c>
      <c r="P51" t="s">
        <v>311</v>
      </c>
      <c r="Q51">
        <v>1</v>
      </c>
      <c r="W51">
        <v>0</v>
      </c>
      <c r="X51">
        <v>-2140504649</v>
      </c>
      <c r="Y51">
        <f t="shared" si="12"/>
        <v>9.58</v>
      </c>
      <c r="AA51">
        <v>0</v>
      </c>
      <c r="AB51">
        <v>0</v>
      </c>
      <c r="AC51">
        <v>0</v>
      </c>
      <c r="AD51">
        <v>636.66999999999996</v>
      </c>
      <c r="AE51">
        <v>0</v>
      </c>
      <c r="AF51">
        <v>0</v>
      </c>
      <c r="AG51">
        <v>0</v>
      </c>
      <c r="AH51">
        <v>636.66999999999996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0</v>
      </c>
      <c r="AP51">
        <v>0</v>
      </c>
      <c r="AQ51">
        <v>1</v>
      </c>
      <c r="AR51">
        <v>0</v>
      </c>
      <c r="AS51" t="s">
        <v>3</v>
      </c>
      <c r="AT51">
        <v>9.58</v>
      </c>
      <c r="AU51" t="s">
        <v>3</v>
      </c>
      <c r="AV51">
        <v>1</v>
      </c>
      <c r="AW51">
        <v>2</v>
      </c>
      <c r="AX51">
        <v>61625906</v>
      </c>
      <c r="AY51">
        <v>1</v>
      </c>
      <c r="AZ51">
        <v>0</v>
      </c>
      <c r="BA51">
        <v>52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6099.2986000000001</v>
      </c>
      <c r="BN51">
        <v>9.58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6099.2986000000001</v>
      </c>
      <c r="BU51">
        <v>9.58</v>
      </c>
      <c r="BV51">
        <v>0</v>
      </c>
      <c r="BW51">
        <v>1</v>
      </c>
      <c r="CU51">
        <f>ROUND(AT51*Source!I143*AH51*AL51,2)</f>
        <v>12198.6</v>
      </c>
      <c r="CV51">
        <f>ROUND(Y51*Source!I143,7)</f>
        <v>19.16</v>
      </c>
      <c r="CW51">
        <v>0</v>
      </c>
      <c r="CX51">
        <f>ROUND(Y51*Source!I143,7)</f>
        <v>19.16</v>
      </c>
      <c r="CY51">
        <f t="shared" si="25"/>
        <v>636.66999999999996</v>
      </c>
      <c r="CZ51">
        <f t="shared" si="26"/>
        <v>636.66999999999996</v>
      </c>
      <c r="DA51">
        <f t="shared" si="27"/>
        <v>1</v>
      </c>
      <c r="DB51">
        <f t="shared" si="13"/>
        <v>6099.3</v>
      </c>
      <c r="DC51">
        <f t="shared" si="14"/>
        <v>0</v>
      </c>
      <c r="DD51" t="s">
        <v>3</v>
      </c>
      <c r="DE51" t="s">
        <v>3</v>
      </c>
      <c r="DF51">
        <f t="shared" si="24"/>
        <v>0</v>
      </c>
      <c r="DG51">
        <f t="shared" si="22"/>
        <v>0</v>
      </c>
      <c r="DH51">
        <f t="shared" si="17"/>
        <v>0</v>
      </c>
      <c r="DI51">
        <f t="shared" si="18"/>
        <v>12198.6</v>
      </c>
      <c r="DJ51">
        <f t="shared" si="28"/>
        <v>12198.6</v>
      </c>
      <c r="DK51">
        <v>1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ROW(Source!A144)</f>
        <v>144</v>
      </c>
      <c r="B52">
        <v>61625010</v>
      </c>
      <c r="C52">
        <v>61625907</v>
      </c>
      <c r="D52">
        <v>56217452</v>
      </c>
      <c r="E52">
        <v>108</v>
      </c>
      <c r="F52">
        <v>1</v>
      </c>
      <c r="G52">
        <v>1</v>
      </c>
      <c r="H52">
        <v>1</v>
      </c>
      <c r="I52" t="s">
        <v>312</v>
      </c>
      <c r="J52" t="s">
        <v>3</v>
      </c>
      <c r="K52" t="s">
        <v>313</v>
      </c>
      <c r="L52">
        <v>1369</v>
      </c>
      <c r="N52">
        <v>1013</v>
      </c>
      <c r="O52" t="s">
        <v>311</v>
      </c>
      <c r="P52" t="s">
        <v>311</v>
      </c>
      <c r="Q52">
        <v>1</v>
      </c>
      <c r="W52">
        <v>0</v>
      </c>
      <c r="X52">
        <v>126826561</v>
      </c>
      <c r="Y52">
        <f t="shared" si="12"/>
        <v>4.32</v>
      </c>
      <c r="AA52">
        <v>0</v>
      </c>
      <c r="AB52">
        <v>0</v>
      </c>
      <c r="AC52">
        <v>0</v>
      </c>
      <c r="AD52">
        <v>571.70000000000005</v>
      </c>
      <c r="AE52">
        <v>0</v>
      </c>
      <c r="AF52">
        <v>0</v>
      </c>
      <c r="AG52">
        <v>0</v>
      </c>
      <c r="AH52">
        <v>571.70000000000005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0</v>
      </c>
      <c r="AQ52">
        <v>1</v>
      </c>
      <c r="AR52">
        <v>0</v>
      </c>
      <c r="AS52" t="s">
        <v>3</v>
      </c>
      <c r="AT52">
        <v>4.32</v>
      </c>
      <c r="AU52" t="s">
        <v>3</v>
      </c>
      <c r="AV52">
        <v>1</v>
      </c>
      <c r="AW52">
        <v>2</v>
      </c>
      <c r="AX52">
        <v>61625909</v>
      </c>
      <c r="AY52">
        <v>1</v>
      </c>
      <c r="AZ52">
        <v>0</v>
      </c>
      <c r="BA52">
        <v>53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2469.7440000000001</v>
      </c>
      <c r="BN52">
        <v>4.32</v>
      </c>
      <c r="BO52">
        <v>0</v>
      </c>
      <c r="BP52">
        <v>1</v>
      </c>
      <c r="BQ52">
        <v>0</v>
      </c>
      <c r="BR52">
        <v>0</v>
      </c>
      <c r="BS52">
        <v>0</v>
      </c>
      <c r="BT52">
        <v>2469.7440000000001</v>
      </c>
      <c r="BU52">
        <v>4.32</v>
      </c>
      <c r="BV52">
        <v>0</v>
      </c>
      <c r="BW52">
        <v>1</v>
      </c>
      <c r="CU52">
        <f>ROUND(AT52*Source!I144*AH52*AL52,2)</f>
        <v>4939.49</v>
      </c>
      <c r="CV52">
        <f>ROUND(Y52*Source!I144,7)</f>
        <v>8.64</v>
      </c>
      <c r="CW52">
        <v>0</v>
      </c>
      <c r="CX52">
        <f>ROUND(Y52*Source!I144,7)</f>
        <v>8.64</v>
      </c>
      <c r="CY52">
        <f t="shared" si="25"/>
        <v>571.70000000000005</v>
      </c>
      <c r="CZ52">
        <f t="shared" si="26"/>
        <v>571.70000000000005</v>
      </c>
      <c r="DA52">
        <f t="shared" si="27"/>
        <v>1</v>
      </c>
      <c r="DB52">
        <f t="shared" si="13"/>
        <v>2469.7399999999998</v>
      </c>
      <c r="DC52">
        <f t="shared" si="14"/>
        <v>0</v>
      </c>
      <c r="DD52" t="s">
        <v>3</v>
      </c>
      <c r="DE52" t="s">
        <v>3</v>
      </c>
      <c r="DF52">
        <f t="shared" si="24"/>
        <v>0</v>
      </c>
      <c r="DG52">
        <f t="shared" si="22"/>
        <v>0</v>
      </c>
      <c r="DH52">
        <f t="shared" si="17"/>
        <v>0</v>
      </c>
      <c r="DI52">
        <f t="shared" si="18"/>
        <v>4939.49</v>
      </c>
      <c r="DJ52">
        <f t="shared" si="28"/>
        <v>4939.49</v>
      </c>
      <c r="DK52">
        <v>1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ROW(Source!A145)</f>
        <v>145</v>
      </c>
      <c r="B53">
        <v>61625010</v>
      </c>
      <c r="C53">
        <v>61625910</v>
      </c>
      <c r="D53">
        <v>56217452</v>
      </c>
      <c r="E53">
        <v>108</v>
      </c>
      <c r="F53">
        <v>1</v>
      </c>
      <c r="G53">
        <v>1</v>
      </c>
      <c r="H53">
        <v>1</v>
      </c>
      <c r="I53" t="s">
        <v>312</v>
      </c>
      <c r="J53" t="s">
        <v>3</v>
      </c>
      <c r="K53" t="s">
        <v>313</v>
      </c>
      <c r="L53">
        <v>1369</v>
      </c>
      <c r="N53">
        <v>1013</v>
      </c>
      <c r="O53" t="s">
        <v>311</v>
      </c>
      <c r="P53" t="s">
        <v>311</v>
      </c>
      <c r="Q53">
        <v>1</v>
      </c>
      <c r="W53">
        <v>0</v>
      </c>
      <c r="X53">
        <v>126826561</v>
      </c>
      <c r="Y53">
        <f t="shared" si="12"/>
        <v>6.48</v>
      </c>
      <c r="AA53">
        <v>0</v>
      </c>
      <c r="AB53">
        <v>0</v>
      </c>
      <c r="AC53">
        <v>0</v>
      </c>
      <c r="AD53">
        <v>571.70000000000005</v>
      </c>
      <c r="AE53">
        <v>0</v>
      </c>
      <c r="AF53">
        <v>0</v>
      </c>
      <c r="AG53">
        <v>0</v>
      </c>
      <c r="AH53">
        <v>571.70000000000005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0</v>
      </c>
      <c r="AQ53">
        <v>1</v>
      </c>
      <c r="AR53">
        <v>0</v>
      </c>
      <c r="AS53" t="s">
        <v>3</v>
      </c>
      <c r="AT53">
        <v>6.48</v>
      </c>
      <c r="AU53" t="s">
        <v>3</v>
      </c>
      <c r="AV53">
        <v>1</v>
      </c>
      <c r="AW53">
        <v>2</v>
      </c>
      <c r="AX53">
        <v>61625912</v>
      </c>
      <c r="AY53">
        <v>1</v>
      </c>
      <c r="AZ53">
        <v>0</v>
      </c>
      <c r="BA53">
        <v>54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3704.6160000000004</v>
      </c>
      <c r="BN53">
        <v>6.48</v>
      </c>
      <c r="BO53">
        <v>0</v>
      </c>
      <c r="BP53">
        <v>1</v>
      </c>
      <c r="BQ53">
        <v>0</v>
      </c>
      <c r="BR53">
        <v>0</v>
      </c>
      <c r="BS53">
        <v>0</v>
      </c>
      <c r="BT53">
        <v>3704.6160000000004</v>
      </c>
      <c r="BU53">
        <v>6.48</v>
      </c>
      <c r="BV53">
        <v>0</v>
      </c>
      <c r="BW53">
        <v>1</v>
      </c>
      <c r="CU53">
        <f>ROUND(AT53*Source!I145*AH53*AL53,2)</f>
        <v>7409.23</v>
      </c>
      <c r="CV53">
        <f>ROUND(Y53*Source!I145,7)</f>
        <v>12.96</v>
      </c>
      <c r="CW53">
        <v>0</v>
      </c>
      <c r="CX53">
        <f>ROUND(Y53*Source!I145,7)</f>
        <v>12.96</v>
      </c>
      <c r="CY53">
        <f t="shared" si="25"/>
        <v>571.70000000000005</v>
      </c>
      <c r="CZ53">
        <f t="shared" si="26"/>
        <v>571.70000000000005</v>
      </c>
      <c r="DA53">
        <f t="shared" si="27"/>
        <v>1</v>
      </c>
      <c r="DB53">
        <f t="shared" si="13"/>
        <v>3704.62</v>
      </c>
      <c r="DC53">
        <f t="shared" si="14"/>
        <v>0</v>
      </c>
      <c r="DD53" t="s">
        <v>3</v>
      </c>
      <c r="DE53" t="s">
        <v>3</v>
      </c>
      <c r="DF53">
        <f t="shared" si="24"/>
        <v>0</v>
      </c>
      <c r="DG53">
        <f t="shared" si="22"/>
        <v>0</v>
      </c>
      <c r="DH53">
        <f t="shared" si="17"/>
        <v>0</v>
      </c>
      <c r="DI53">
        <f t="shared" si="18"/>
        <v>7409.23</v>
      </c>
      <c r="DJ53">
        <f t="shared" si="28"/>
        <v>7409.23</v>
      </c>
      <c r="DK53">
        <v>1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ROW(Source!A146)</f>
        <v>146</v>
      </c>
      <c r="B54">
        <v>61625010</v>
      </c>
      <c r="C54">
        <v>61625913</v>
      </c>
      <c r="D54">
        <v>56217452</v>
      </c>
      <c r="E54">
        <v>108</v>
      </c>
      <c r="F54">
        <v>1</v>
      </c>
      <c r="G54">
        <v>1</v>
      </c>
      <c r="H54">
        <v>1</v>
      </c>
      <c r="I54" t="s">
        <v>312</v>
      </c>
      <c r="J54" t="s">
        <v>3</v>
      </c>
      <c r="K54" t="s">
        <v>313</v>
      </c>
      <c r="L54">
        <v>1369</v>
      </c>
      <c r="N54">
        <v>1013</v>
      </c>
      <c r="O54" t="s">
        <v>311</v>
      </c>
      <c r="P54" t="s">
        <v>311</v>
      </c>
      <c r="Q54">
        <v>1</v>
      </c>
      <c r="W54">
        <v>0</v>
      </c>
      <c r="X54">
        <v>126826561</v>
      </c>
      <c r="Y54">
        <f t="shared" si="12"/>
        <v>6.48</v>
      </c>
      <c r="AA54">
        <v>0</v>
      </c>
      <c r="AB54">
        <v>0</v>
      </c>
      <c r="AC54">
        <v>0</v>
      </c>
      <c r="AD54">
        <v>571.70000000000005</v>
      </c>
      <c r="AE54">
        <v>0</v>
      </c>
      <c r="AF54">
        <v>0</v>
      </c>
      <c r="AG54">
        <v>0</v>
      </c>
      <c r="AH54">
        <v>571.70000000000005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0</v>
      </c>
      <c r="AQ54">
        <v>1</v>
      </c>
      <c r="AR54">
        <v>0</v>
      </c>
      <c r="AS54" t="s">
        <v>3</v>
      </c>
      <c r="AT54">
        <v>6.48</v>
      </c>
      <c r="AU54" t="s">
        <v>3</v>
      </c>
      <c r="AV54">
        <v>1</v>
      </c>
      <c r="AW54">
        <v>2</v>
      </c>
      <c r="AX54">
        <v>61625915</v>
      </c>
      <c r="AY54">
        <v>1</v>
      </c>
      <c r="AZ54">
        <v>0</v>
      </c>
      <c r="BA54">
        <v>55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3704.6160000000004</v>
      </c>
      <c r="BN54">
        <v>6.48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3704.6160000000004</v>
      </c>
      <c r="BU54">
        <v>6.48</v>
      </c>
      <c r="BV54">
        <v>0</v>
      </c>
      <c r="BW54">
        <v>1</v>
      </c>
      <c r="CU54">
        <f>ROUND(AT54*Source!I146*AH54*AL54,2)</f>
        <v>7409.23</v>
      </c>
      <c r="CV54">
        <f>ROUND(Y54*Source!I146,7)</f>
        <v>12.96</v>
      </c>
      <c r="CW54">
        <v>0</v>
      </c>
      <c r="CX54">
        <f>ROUND(Y54*Source!I146,7)</f>
        <v>12.96</v>
      </c>
      <c r="CY54">
        <f t="shared" si="25"/>
        <v>571.70000000000005</v>
      </c>
      <c r="CZ54">
        <f t="shared" si="26"/>
        <v>571.70000000000005</v>
      </c>
      <c r="DA54">
        <f t="shared" si="27"/>
        <v>1</v>
      </c>
      <c r="DB54">
        <f t="shared" si="13"/>
        <v>3704.62</v>
      </c>
      <c r="DC54">
        <f t="shared" si="14"/>
        <v>0</v>
      </c>
      <c r="DD54" t="s">
        <v>3</v>
      </c>
      <c r="DE54" t="s">
        <v>3</v>
      </c>
      <c r="DF54">
        <f t="shared" si="24"/>
        <v>0</v>
      </c>
      <c r="DG54">
        <f t="shared" si="22"/>
        <v>0</v>
      </c>
      <c r="DH54">
        <f t="shared" si="17"/>
        <v>0</v>
      </c>
      <c r="DI54">
        <f t="shared" si="18"/>
        <v>7409.23</v>
      </c>
      <c r="DJ54">
        <f t="shared" si="28"/>
        <v>7409.23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ROW(Source!A147)</f>
        <v>147</v>
      </c>
      <c r="B55">
        <v>61625010</v>
      </c>
      <c r="C55">
        <v>61625916</v>
      </c>
      <c r="D55">
        <v>56217452</v>
      </c>
      <c r="E55">
        <v>108</v>
      </c>
      <c r="F55">
        <v>1</v>
      </c>
      <c r="G55">
        <v>1</v>
      </c>
      <c r="H55">
        <v>1</v>
      </c>
      <c r="I55" t="s">
        <v>312</v>
      </c>
      <c r="J55" t="s">
        <v>3</v>
      </c>
      <c r="K55" t="s">
        <v>313</v>
      </c>
      <c r="L55">
        <v>1369</v>
      </c>
      <c r="N55">
        <v>1013</v>
      </c>
      <c r="O55" t="s">
        <v>311</v>
      </c>
      <c r="P55" t="s">
        <v>311</v>
      </c>
      <c r="Q55">
        <v>1</v>
      </c>
      <c r="W55">
        <v>0</v>
      </c>
      <c r="X55">
        <v>126826561</v>
      </c>
      <c r="Y55">
        <f t="shared" si="12"/>
        <v>3.6</v>
      </c>
      <c r="AA55">
        <v>0</v>
      </c>
      <c r="AB55">
        <v>0</v>
      </c>
      <c r="AC55">
        <v>0</v>
      </c>
      <c r="AD55">
        <v>571.70000000000005</v>
      </c>
      <c r="AE55">
        <v>0</v>
      </c>
      <c r="AF55">
        <v>0</v>
      </c>
      <c r="AG55">
        <v>0</v>
      </c>
      <c r="AH55">
        <v>571.70000000000005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0</v>
      </c>
      <c r="AP55">
        <v>0</v>
      </c>
      <c r="AQ55">
        <v>1</v>
      </c>
      <c r="AR55">
        <v>0</v>
      </c>
      <c r="AS55" t="s">
        <v>3</v>
      </c>
      <c r="AT55">
        <v>3.6</v>
      </c>
      <c r="AU55" t="s">
        <v>3</v>
      </c>
      <c r="AV55">
        <v>1</v>
      </c>
      <c r="AW55">
        <v>2</v>
      </c>
      <c r="AX55">
        <v>61625918</v>
      </c>
      <c r="AY55">
        <v>1</v>
      </c>
      <c r="AZ55">
        <v>0</v>
      </c>
      <c r="BA55">
        <v>56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2058.1200000000003</v>
      </c>
      <c r="BN55">
        <v>3.6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2058.1200000000003</v>
      </c>
      <c r="BU55">
        <v>3.6</v>
      </c>
      <c r="BV55">
        <v>0</v>
      </c>
      <c r="BW55">
        <v>1</v>
      </c>
      <c r="CU55">
        <f>ROUND(AT55*Source!I147*AH55*AL55,2)</f>
        <v>4116.24</v>
      </c>
      <c r="CV55">
        <f>ROUND(Y55*Source!I147,7)</f>
        <v>7.2</v>
      </c>
      <c r="CW55">
        <v>0</v>
      </c>
      <c r="CX55">
        <f>ROUND(Y55*Source!I147,7)</f>
        <v>7.2</v>
      </c>
      <c r="CY55">
        <f t="shared" si="25"/>
        <v>571.70000000000005</v>
      </c>
      <c r="CZ55">
        <f t="shared" si="26"/>
        <v>571.70000000000005</v>
      </c>
      <c r="DA55">
        <f t="shared" si="27"/>
        <v>1</v>
      </c>
      <c r="DB55">
        <f t="shared" si="13"/>
        <v>2058.12</v>
      </c>
      <c r="DC55">
        <f t="shared" si="14"/>
        <v>0</v>
      </c>
      <c r="DD55" t="s">
        <v>3</v>
      </c>
      <c r="DE55" t="s">
        <v>3</v>
      </c>
      <c r="DF55">
        <f t="shared" si="24"/>
        <v>0</v>
      </c>
      <c r="DG55">
        <f t="shared" si="22"/>
        <v>0</v>
      </c>
      <c r="DH55">
        <f t="shared" si="17"/>
        <v>0</v>
      </c>
      <c r="DI55">
        <f t="shared" si="18"/>
        <v>4116.24</v>
      </c>
      <c r="DJ55">
        <f t="shared" si="28"/>
        <v>4116.24</v>
      </c>
      <c r="DK55">
        <v>1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ROW(Source!A148)</f>
        <v>148</v>
      </c>
      <c r="B56">
        <v>61625010</v>
      </c>
      <c r="C56">
        <v>61625919</v>
      </c>
      <c r="D56">
        <v>56217415</v>
      </c>
      <c r="E56">
        <v>108</v>
      </c>
      <c r="F56">
        <v>1</v>
      </c>
      <c r="G56">
        <v>1</v>
      </c>
      <c r="H56">
        <v>1</v>
      </c>
      <c r="I56" t="s">
        <v>314</v>
      </c>
      <c r="J56" t="s">
        <v>3</v>
      </c>
      <c r="K56" t="s">
        <v>315</v>
      </c>
      <c r="L56">
        <v>1369</v>
      </c>
      <c r="N56">
        <v>1013</v>
      </c>
      <c r="O56" t="s">
        <v>311</v>
      </c>
      <c r="P56" t="s">
        <v>311</v>
      </c>
      <c r="Q56">
        <v>1</v>
      </c>
      <c r="W56">
        <v>0</v>
      </c>
      <c r="X56">
        <v>-512803540</v>
      </c>
      <c r="Y56">
        <f t="shared" si="12"/>
        <v>1.94</v>
      </c>
      <c r="AA56">
        <v>0</v>
      </c>
      <c r="AB56">
        <v>0</v>
      </c>
      <c r="AC56">
        <v>0</v>
      </c>
      <c r="AD56">
        <v>435.27</v>
      </c>
      <c r="AE56">
        <v>0</v>
      </c>
      <c r="AF56">
        <v>0</v>
      </c>
      <c r="AG56">
        <v>0</v>
      </c>
      <c r="AH56">
        <v>435.27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0</v>
      </c>
      <c r="AQ56">
        <v>1</v>
      </c>
      <c r="AR56">
        <v>0</v>
      </c>
      <c r="AS56" t="s">
        <v>3</v>
      </c>
      <c r="AT56">
        <v>1.94</v>
      </c>
      <c r="AU56" t="s">
        <v>3</v>
      </c>
      <c r="AV56">
        <v>1</v>
      </c>
      <c r="AW56">
        <v>2</v>
      </c>
      <c r="AX56">
        <v>61625922</v>
      </c>
      <c r="AY56">
        <v>1</v>
      </c>
      <c r="AZ56">
        <v>0</v>
      </c>
      <c r="BA56">
        <v>57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844.42379999999991</v>
      </c>
      <c r="BN56">
        <v>1.94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844.42379999999991</v>
      </c>
      <c r="BU56">
        <v>1.94</v>
      </c>
      <c r="BV56">
        <v>0</v>
      </c>
      <c r="BW56">
        <v>1</v>
      </c>
      <c r="CU56">
        <f>ROUND(AT56*Source!I148*AH56*AL56,2)</f>
        <v>1688.85</v>
      </c>
      <c r="CV56">
        <f>ROUND(Y56*Source!I148,7)</f>
        <v>3.88</v>
      </c>
      <c r="CW56">
        <v>0</v>
      </c>
      <c r="CX56">
        <f>ROUND(Y56*Source!I148,7)</f>
        <v>3.88</v>
      </c>
      <c r="CY56">
        <f t="shared" si="25"/>
        <v>435.27</v>
      </c>
      <c r="CZ56">
        <f t="shared" si="26"/>
        <v>435.27</v>
      </c>
      <c r="DA56">
        <f t="shared" si="27"/>
        <v>1</v>
      </c>
      <c r="DB56">
        <f t="shared" si="13"/>
        <v>844.42</v>
      </c>
      <c r="DC56">
        <f t="shared" si="14"/>
        <v>0</v>
      </c>
      <c r="DD56" t="s">
        <v>3</v>
      </c>
      <c r="DE56" t="s">
        <v>3</v>
      </c>
      <c r="DF56">
        <f t="shared" si="24"/>
        <v>0</v>
      </c>
      <c r="DG56">
        <f t="shared" si="22"/>
        <v>0</v>
      </c>
      <c r="DH56">
        <f t="shared" si="17"/>
        <v>0</v>
      </c>
      <c r="DI56">
        <f t="shared" si="18"/>
        <v>1688.85</v>
      </c>
      <c r="DJ56">
        <f t="shared" si="28"/>
        <v>1688.85</v>
      </c>
      <c r="DK56">
        <v>1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ROW(Source!A148)</f>
        <v>148</v>
      </c>
      <c r="B57">
        <v>61625010</v>
      </c>
      <c r="C57">
        <v>61625919</v>
      </c>
      <c r="D57">
        <v>56217452</v>
      </c>
      <c r="E57">
        <v>108</v>
      </c>
      <c r="F57">
        <v>1</v>
      </c>
      <c r="G57">
        <v>1</v>
      </c>
      <c r="H57">
        <v>1</v>
      </c>
      <c r="I57" t="s">
        <v>312</v>
      </c>
      <c r="J57" t="s">
        <v>3</v>
      </c>
      <c r="K57" t="s">
        <v>313</v>
      </c>
      <c r="L57">
        <v>1369</v>
      </c>
      <c r="N57">
        <v>1013</v>
      </c>
      <c r="O57" t="s">
        <v>311</v>
      </c>
      <c r="P57" t="s">
        <v>311</v>
      </c>
      <c r="Q57">
        <v>1</v>
      </c>
      <c r="W57">
        <v>0</v>
      </c>
      <c r="X57">
        <v>126826561</v>
      </c>
      <c r="Y57">
        <f t="shared" si="12"/>
        <v>2.92</v>
      </c>
      <c r="AA57">
        <v>0</v>
      </c>
      <c r="AB57">
        <v>0</v>
      </c>
      <c r="AC57">
        <v>0</v>
      </c>
      <c r="AD57">
        <v>571.70000000000005</v>
      </c>
      <c r="AE57">
        <v>0</v>
      </c>
      <c r="AF57">
        <v>0</v>
      </c>
      <c r="AG57">
        <v>0</v>
      </c>
      <c r="AH57">
        <v>571.70000000000005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0</v>
      </c>
      <c r="AQ57">
        <v>1</v>
      </c>
      <c r="AR57">
        <v>0</v>
      </c>
      <c r="AS57" t="s">
        <v>3</v>
      </c>
      <c r="AT57">
        <v>2.92</v>
      </c>
      <c r="AU57" t="s">
        <v>3</v>
      </c>
      <c r="AV57">
        <v>1</v>
      </c>
      <c r="AW57">
        <v>2</v>
      </c>
      <c r="AX57">
        <v>61625923</v>
      </c>
      <c r="AY57">
        <v>1</v>
      </c>
      <c r="AZ57">
        <v>0</v>
      </c>
      <c r="BA57">
        <v>58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1669.364</v>
      </c>
      <c r="BN57">
        <v>2.92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1669.364</v>
      </c>
      <c r="BU57">
        <v>2.92</v>
      </c>
      <c r="BV57">
        <v>0</v>
      </c>
      <c r="BW57">
        <v>1</v>
      </c>
      <c r="CU57">
        <f>ROUND(AT57*Source!I148*AH57*AL57,2)</f>
        <v>3338.73</v>
      </c>
      <c r="CV57">
        <f>ROUND(Y57*Source!I148,7)</f>
        <v>5.84</v>
      </c>
      <c r="CW57">
        <v>0</v>
      </c>
      <c r="CX57">
        <f>ROUND(Y57*Source!I148,7)</f>
        <v>5.84</v>
      </c>
      <c r="CY57">
        <f t="shared" si="25"/>
        <v>571.70000000000005</v>
      </c>
      <c r="CZ57">
        <f t="shared" si="26"/>
        <v>571.70000000000005</v>
      </c>
      <c r="DA57">
        <f t="shared" si="27"/>
        <v>1</v>
      </c>
      <c r="DB57">
        <f t="shared" si="13"/>
        <v>1669.36</v>
      </c>
      <c r="DC57">
        <f t="shared" si="14"/>
        <v>0</v>
      </c>
      <c r="DD57" t="s">
        <v>3</v>
      </c>
      <c r="DE57" t="s">
        <v>3</v>
      </c>
      <c r="DF57">
        <f t="shared" si="24"/>
        <v>0</v>
      </c>
      <c r="DG57">
        <f t="shared" si="22"/>
        <v>0</v>
      </c>
      <c r="DH57">
        <f t="shared" si="17"/>
        <v>0</v>
      </c>
      <c r="DI57">
        <f t="shared" si="18"/>
        <v>3338.73</v>
      </c>
      <c r="DJ57">
        <f t="shared" si="28"/>
        <v>3338.73</v>
      </c>
      <c r="DK57">
        <v>1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ROW(Source!A149)</f>
        <v>149</v>
      </c>
      <c r="B58">
        <v>61625010</v>
      </c>
      <c r="C58">
        <v>61625924</v>
      </c>
      <c r="D58">
        <v>56217421</v>
      </c>
      <c r="E58">
        <v>108</v>
      </c>
      <c r="F58">
        <v>1</v>
      </c>
      <c r="G58">
        <v>1</v>
      </c>
      <c r="H58">
        <v>1</v>
      </c>
      <c r="I58" t="s">
        <v>309</v>
      </c>
      <c r="J58" t="s">
        <v>3</v>
      </c>
      <c r="K58" t="s">
        <v>310</v>
      </c>
      <c r="L58">
        <v>1369</v>
      </c>
      <c r="N58">
        <v>1013</v>
      </c>
      <c r="O58" t="s">
        <v>311</v>
      </c>
      <c r="P58" t="s">
        <v>311</v>
      </c>
      <c r="Q58">
        <v>1</v>
      </c>
      <c r="W58">
        <v>0</v>
      </c>
      <c r="X58">
        <v>286205319</v>
      </c>
      <c r="Y58">
        <f t="shared" si="12"/>
        <v>0.16</v>
      </c>
      <c r="AA58">
        <v>0</v>
      </c>
      <c r="AB58">
        <v>0</v>
      </c>
      <c r="AC58">
        <v>0</v>
      </c>
      <c r="AD58">
        <v>584.69000000000005</v>
      </c>
      <c r="AE58">
        <v>0</v>
      </c>
      <c r="AF58">
        <v>0</v>
      </c>
      <c r="AG58">
        <v>0</v>
      </c>
      <c r="AH58">
        <v>584.69000000000005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0</v>
      </c>
      <c r="AQ58">
        <v>1</v>
      </c>
      <c r="AR58">
        <v>0</v>
      </c>
      <c r="AS58" t="s">
        <v>3</v>
      </c>
      <c r="AT58">
        <v>0.16</v>
      </c>
      <c r="AU58" t="s">
        <v>3</v>
      </c>
      <c r="AV58">
        <v>1</v>
      </c>
      <c r="AW58">
        <v>2</v>
      </c>
      <c r="AX58">
        <v>61625927</v>
      </c>
      <c r="AY58">
        <v>1</v>
      </c>
      <c r="AZ58">
        <v>0</v>
      </c>
      <c r="BA58">
        <v>59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93.55040000000001</v>
      </c>
      <c r="BN58">
        <v>0.16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93.55040000000001</v>
      </c>
      <c r="BU58">
        <v>0.16</v>
      </c>
      <c r="BV58">
        <v>0</v>
      </c>
      <c r="BW58">
        <v>1</v>
      </c>
      <c r="CU58">
        <f>ROUND(AT58*Source!I149*AH58*AL58,2)</f>
        <v>561.29999999999995</v>
      </c>
      <c r="CV58">
        <f>ROUND(Y58*Source!I149,7)</f>
        <v>0.96</v>
      </c>
      <c r="CW58">
        <v>0</v>
      </c>
      <c r="CX58">
        <f>ROUND(Y58*Source!I149,7)</f>
        <v>0.96</v>
      </c>
      <c r="CY58">
        <f t="shared" si="25"/>
        <v>584.69000000000005</v>
      </c>
      <c r="CZ58">
        <f t="shared" si="26"/>
        <v>584.69000000000005</v>
      </c>
      <c r="DA58">
        <f t="shared" si="27"/>
        <v>1</v>
      </c>
      <c r="DB58">
        <f t="shared" si="13"/>
        <v>93.55</v>
      </c>
      <c r="DC58">
        <f t="shared" si="14"/>
        <v>0</v>
      </c>
      <c r="DD58" t="s">
        <v>3</v>
      </c>
      <c r="DE58" t="s">
        <v>3</v>
      </c>
      <c r="DF58">
        <f t="shared" si="24"/>
        <v>0</v>
      </c>
      <c r="DG58">
        <f t="shared" si="22"/>
        <v>0</v>
      </c>
      <c r="DH58">
        <f t="shared" si="17"/>
        <v>0</v>
      </c>
      <c r="DI58">
        <f t="shared" si="18"/>
        <v>561.29999999999995</v>
      </c>
      <c r="DJ58">
        <f t="shared" si="28"/>
        <v>561.29999999999995</v>
      </c>
      <c r="DK58">
        <v>1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ROW(Source!A149)</f>
        <v>149</v>
      </c>
      <c r="B59">
        <v>61625010</v>
      </c>
      <c r="C59">
        <v>61625924</v>
      </c>
      <c r="D59">
        <v>56217452</v>
      </c>
      <c r="E59">
        <v>108</v>
      </c>
      <c r="F59">
        <v>1</v>
      </c>
      <c r="G59">
        <v>1</v>
      </c>
      <c r="H59">
        <v>1</v>
      </c>
      <c r="I59" t="s">
        <v>312</v>
      </c>
      <c r="J59" t="s">
        <v>3</v>
      </c>
      <c r="K59" t="s">
        <v>313</v>
      </c>
      <c r="L59">
        <v>1369</v>
      </c>
      <c r="N59">
        <v>1013</v>
      </c>
      <c r="O59" t="s">
        <v>311</v>
      </c>
      <c r="P59" t="s">
        <v>311</v>
      </c>
      <c r="Q59">
        <v>1</v>
      </c>
      <c r="W59">
        <v>0</v>
      </c>
      <c r="X59">
        <v>126826561</v>
      </c>
      <c r="Y59">
        <f t="shared" si="12"/>
        <v>0.16</v>
      </c>
      <c r="AA59">
        <v>0</v>
      </c>
      <c r="AB59">
        <v>0</v>
      </c>
      <c r="AC59">
        <v>0</v>
      </c>
      <c r="AD59">
        <v>571.70000000000005</v>
      </c>
      <c r="AE59">
        <v>0</v>
      </c>
      <c r="AF59">
        <v>0</v>
      </c>
      <c r="AG59">
        <v>0</v>
      </c>
      <c r="AH59">
        <v>571.70000000000005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0</v>
      </c>
      <c r="AQ59">
        <v>1</v>
      </c>
      <c r="AR59">
        <v>0</v>
      </c>
      <c r="AS59" t="s">
        <v>3</v>
      </c>
      <c r="AT59">
        <v>0.16</v>
      </c>
      <c r="AU59" t="s">
        <v>3</v>
      </c>
      <c r="AV59">
        <v>1</v>
      </c>
      <c r="AW59">
        <v>2</v>
      </c>
      <c r="AX59">
        <v>61625928</v>
      </c>
      <c r="AY59">
        <v>1</v>
      </c>
      <c r="AZ59">
        <v>0</v>
      </c>
      <c r="BA59">
        <v>60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91.472000000000008</v>
      </c>
      <c r="BN59">
        <v>0.16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91.472000000000008</v>
      </c>
      <c r="BU59">
        <v>0.16</v>
      </c>
      <c r="BV59">
        <v>0</v>
      </c>
      <c r="BW59">
        <v>1</v>
      </c>
      <c r="CU59">
        <f>ROUND(AT59*Source!I149*AH59*AL59,2)</f>
        <v>548.83000000000004</v>
      </c>
      <c r="CV59">
        <f>ROUND(Y59*Source!I149,7)</f>
        <v>0.96</v>
      </c>
      <c r="CW59">
        <v>0</v>
      </c>
      <c r="CX59">
        <f>ROUND(Y59*Source!I149,7)</f>
        <v>0.96</v>
      </c>
      <c r="CY59">
        <f t="shared" si="25"/>
        <v>571.70000000000005</v>
      </c>
      <c r="CZ59">
        <f t="shared" si="26"/>
        <v>571.70000000000005</v>
      </c>
      <c r="DA59">
        <f t="shared" si="27"/>
        <v>1</v>
      </c>
      <c r="DB59">
        <f t="shared" si="13"/>
        <v>91.47</v>
      </c>
      <c r="DC59">
        <f t="shared" si="14"/>
        <v>0</v>
      </c>
      <c r="DD59" t="s">
        <v>3</v>
      </c>
      <c r="DE59" t="s">
        <v>3</v>
      </c>
      <c r="DF59">
        <f t="shared" si="24"/>
        <v>0</v>
      </c>
      <c r="DG59">
        <f t="shared" si="22"/>
        <v>0</v>
      </c>
      <c r="DH59">
        <f t="shared" si="17"/>
        <v>0</v>
      </c>
      <c r="DI59">
        <f t="shared" si="18"/>
        <v>548.83000000000004</v>
      </c>
      <c r="DJ59">
        <f t="shared" si="28"/>
        <v>548.83000000000004</v>
      </c>
      <c r="DK59">
        <v>1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ROW(Source!A150)</f>
        <v>150</v>
      </c>
      <c r="B60">
        <v>61625010</v>
      </c>
      <c r="C60">
        <v>61625929</v>
      </c>
      <c r="D60">
        <v>56217421</v>
      </c>
      <c r="E60">
        <v>108</v>
      </c>
      <c r="F60">
        <v>1</v>
      </c>
      <c r="G60">
        <v>1</v>
      </c>
      <c r="H60">
        <v>1</v>
      </c>
      <c r="I60" t="s">
        <v>309</v>
      </c>
      <c r="J60" t="s">
        <v>3</v>
      </c>
      <c r="K60" t="s">
        <v>310</v>
      </c>
      <c r="L60">
        <v>1369</v>
      </c>
      <c r="N60">
        <v>1013</v>
      </c>
      <c r="O60" t="s">
        <v>311</v>
      </c>
      <c r="P60" t="s">
        <v>311</v>
      </c>
      <c r="Q60">
        <v>1</v>
      </c>
      <c r="W60">
        <v>0</v>
      </c>
      <c r="X60">
        <v>286205319</v>
      </c>
      <c r="Y60">
        <f t="shared" si="12"/>
        <v>0.5</v>
      </c>
      <c r="AA60">
        <v>0</v>
      </c>
      <c r="AB60">
        <v>0</v>
      </c>
      <c r="AC60">
        <v>0</v>
      </c>
      <c r="AD60">
        <v>584.69000000000005</v>
      </c>
      <c r="AE60">
        <v>0</v>
      </c>
      <c r="AF60">
        <v>0</v>
      </c>
      <c r="AG60">
        <v>0</v>
      </c>
      <c r="AH60">
        <v>584.69000000000005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0</v>
      </c>
      <c r="AQ60">
        <v>1</v>
      </c>
      <c r="AR60">
        <v>0</v>
      </c>
      <c r="AS60" t="s">
        <v>3</v>
      </c>
      <c r="AT60">
        <v>0.5</v>
      </c>
      <c r="AU60" t="s">
        <v>3</v>
      </c>
      <c r="AV60">
        <v>1</v>
      </c>
      <c r="AW60">
        <v>2</v>
      </c>
      <c r="AX60">
        <v>61625932</v>
      </c>
      <c r="AY60">
        <v>1</v>
      </c>
      <c r="AZ60">
        <v>0</v>
      </c>
      <c r="BA60">
        <v>61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292.34500000000003</v>
      </c>
      <c r="BN60">
        <v>0.5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292.34500000000003</v>
      </c>
      <c r="BU60">
        <v>0.5</v>
      </c>
      <c r="BV60">
        <v>0</v>
      </c>
      <c r="BW60">
        <v>1</v>
      </c>
      <c r="CU60">
        <f>ROUND(AT60*Source!I150*AH60*AL60,2)</f>
        <v>584.69000000000005</v>
      </c>
      <c r="CV60">
        <f>ROUND(Y60*Source!I150,7)</f>
        <v>1</v>
      </c>
      <c r="CW60">
        <v>0</v>
      </c>
      <c r="CX60">
        <f>ROUND(Y60*Source!I150,7)</f>
        <v>1</v>
      </c>
      <c r="CY60">
        <f t="shared" si="25"/>
        <v>584.69000000000005</v>
      </c>
      <c r="CZ60">
        <f t="shared" si="26"/>
        <v>584.69000000000005</v>
      </c>
      <c r="DA60">
        <f t="shared" si="27"/>
        <v>1</v>
      </c>
      <c r="DB60">
        <f t="shared" si="13"/>
        <v>292.35000000000002</v>
      </c>
      <c r="DC60">
        <f t="shared" si="14"/>
        <v>0</v>
      </c>
      <c r="DD60" t="s">
        <v>3</v>
      </c>
      <c r="DE60" t="s">
        <v>3</v>
      </c>
      <c r="DF60">
        <f t="shared" si="24"/>
        <v>0</v>
      </c>
      <c r="DG60">
        <f t="shared" si="22"/>
        <v>0</v>
      </c>
      <c r="DH60">
        <f t="shared" si="17"/>
        <v>0</v>
      </c>
      <c r="DI60">
        <f t="shared" si="18"/>
        <v>584.69000000000005</v>
      </c>
      <c r="DJ60">
        <f t="shared" si="28"/>
        <v>584.69000000000005</v>
      </c>
      <c r="DK60">
        <v>1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ROW(Source!A150)</f>
        <v>150</v>
      </c>
      <c r="B61">
        <v>61625010</v>
      </c>
      <c r="C61">
        <v>61625929</v>
      </c>
      <c r="D61">
        <v>56217452</v>
      </c>
      <c r="E61">
        <v>108</v>
      </c>
      <c r="F61">
        <v>1</v>
      </c>
      <c r="G61">
        <v>1</v>
      </c>
      <c r="H61">
        <v>1</v>
      </c>
      <c r="I61" t="s">
        <v>312</v>
      </c>
      <c r="J61" t="s">
        <v>3</v>
      </c>
      <c r="K61" t="s">
        <v>313</v>
      </c>
      <c r="L61">
        <v>1369</v>
      </c>
      <c r="N61">
        <v>1013</v>
      </c>
      <c r="O61" t="s">
        <v>311</v>
      </c>
      <c r="P61" t="s">
        <v>311</v>
      </c>
      <c r="Q61">
        <v>1</v>
      </c>
      <c r="W61">
        <v>0</v>
      </c>
      <c r="X61">
        <v>126826561</v>
      </c>
      <c r="Y61">
        <f t="shared" si="12"/>
        <v>0.5</v>
      </c>
      <c r="AA61">
        <v>0</v>
      </c>
      <c r="AB61">
        <v>0</v>
      </c>
      <c r="AC61">
        <v>0</v>
      </c>
      <c r="AD61">
        <v>571.70000000000005</v>
      </c>
      <c r="AE61">
        <v>0</v>
      </c>
      <c r="AF61">
        <v>0</v>
      </c>
      <c r="AG61">
        <v>0</v>
      </c>
      <c r="AH61">
        <v>571.70000000000005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0.5</v>
      </c>
      <c r="AU61" t="s">
        <v>3</v>
      </c>
      <c r="AV61">
        <v>1</v>
      </c>
      <c r="AW61">
        <v>2</v>
      </c>
      <c r="AX61">
        <v>61625933</v>
      </c>
      <c r="AY61">
        <v>1</v>
      </c>
      <c r="AZ61">
        <v>0</v>
      </c>
      <c r="BA61">
        <v>62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285.85000000000002</v>
      </c>
      <c r="BN61">
        <v>0.5</v>
      </c>
      <c r="BO61">
        <v>0</v>
      </c>
      <c r="BP61">
        <v>1</v>
      </c>
      <c r="BQ61">
        <v>0</v>
      </c>
      <c r="BR61">
        <v>0</v>
      </c>
      <c r="BS61">
        <v>0</v>
      </c>
      <c r="BT61">
        <v>285.85000000000002</v>
      </c>
      <c r="BU61">
        <v>0.5</v>
      </c>
      <c r="BV61">
        <v>0</v>
      </c>
      <c r="BW61">
        <v>1</v>
      </c>
      <c r="CU61">
        <f>ROUND(AT61*Source!I150*AH61*AL61,2)</f>
        <v>571.70000000000005</v>
      </c>
      <c r="CV61">
        <f>ROUND(Y61*Source!I150,7)</f>
        <v>1</v>
      </c>
      <c r="CW61">
        <v>0</v>
      </c>
      <c r="CX61">
        <f>ROUND(Y61*Source!I150,7)</f>
        <v>1</v>
      </c>
      <c r="CY61">
        <f t="shared" si="25"/>
        <v>571.70000000000005</v>
      </c>
      <c r="CZ61">
        <f t="shared" si="26"/>
        <v>571.70000000000005</v>
      </c>
      <c r="DA61">
        <f t="shared" si="27"/>
        <v>1</v>
      </c>
      <c r="DB61">
        <f t="shared" si="13"/>
        <v>285.85000000000002</v>
      </c>
      <c r="DC61">
        <f t="shared" si="14"/>
        <v>0</v>
      </c>
      <c r="DD61" t="s">
        <v>3</v>
      </c>
      <c r="DE61" t="s">
        <v>3</v>
      </c>
      <c r="DF61">
        <f t="shared" si="24"/>
        <v>0</v>
      </c>
      <c r="DG61">
        <f t="shared" si="22"/>
        <v>0</v>
      </c>
      <c r="DH61">
        <f t="shared" si="17"/>
        <v>0</v>
      </c>
      <c r="DI61">
        <f t="shared" si="18"/>
        <v>571.70000000000005</v>
      </c>
      <c r="DJ61">
        <f t="shared" si="28"/>
        <v>571.70000000000005</v>
      </c>
      <c r="DK61">
        <v>1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ROW(Source!A151)</f>
        <v>151</v>
      </c>
      <c r="B62">
        <v>61625010</v>
      </c>
      <c r="C62">
        <v>61625934</v>
      </c>
      <c r="D62">
        <v>56217421</v>
      </c>
      <c r="E62">
        <v>108</v>
      </c>
      <c r="F62">
        <v>1</v>
      </c>
      <c r="G62">
        <v>1</v>
      </c>
      <c r="H62">
        <v>1</v>
      </c>
      <c r="I62" t="s">
        <v>309</v>
      </c>
      <c r="J62" t="s">
        <v>3</v>
      </c>
      <c r="K62" t="s">
        <v>310</v>
      </c>
      <c r="L62">
        <v>1369</v>
      </c>
      <c r="N62">
        <v>1013</v>
      </c>
      <c r="O62" t="s">
        <v>311</v>
      </c>
      <c r="P62" t="s">
        <v>311</v>
      </c>
      <c r="Q62">
        <v>1</v>
      </c>
      <c r="W62">
        <v>0</v>
      </c>
      <c r="X62">
        <v>286205319</v>
      </c>
      <c r="Y62">
        <f t="shared" si="12"/>
        <v>0.81</v>
      </c>
      <c r="AA62">
        <v>0</v>
      </c>
      <c r="AB62">
        <v>0</v>
      </c>
      <c r="AC62">
        <v>0</v>
      </c>
      <c r="AD62">
        <v>584.69000000000005</v>
      </c>
      <c r="AE62">
        <v>0</v>
      </c>
      <c r="AF62">
        <v>0</v>
      </c>
      <c r="AG62">
        <v>0</v>
      </c>
      <c r="AH62">
        <v>584.69000000000005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0</v>
      </c>
      <c r="AQ62">
        <v>1</v>
      </c>
      <c r="AR62">
        <v>0</v>
      </c>
      <c r="AS62" t="s">
        <v>3</v>
      </c>
      <c r="AT62">
        <v>0.81</v>
      </c>
      <c r="AU62" t="s">
        <v>3</v>
      </c>
      <c r="AV62">
        <v>1</v>
      </c>
      <c r="AW62">
        <v>2</v>
      </c>
      <c r="AX62">
        <v>61625937</v>
      </c>
      <c r="AY62">
        <v>1</v>
      </c>
      <c r="AZ62">
        <v>0</v>
      </c>
      <c r="BA62">
        <v>63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473.59890000000007</v>
      </c>
      <c r="BN62">
        <v>0.81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473.59890000000007</v>
      </c>
      <c r="BU62">
        <v>0.81</v>
      </c>
      <c r="BV62">
        <v>0</v>
      </c>
      <c r="BW62">
        <v>1</v>
      </c>
      <c r="CU62">
        <f>ROUND(AT62*Source!I151*AH62*AL62,2)</f>
        <v>947.2</v>
      </c>
      <c r="CV62">
        <f>ROUND(Y62*Source!I151,7)</f>
        <v>1.62</v>
      </c>
      <c r="CW62">
        <v>0</v>
      </c>
      <c r="CX62">
        <f>ROUND(Y62*Source!I151,7)</f>
        <v>1.62</v>
      </c>
      <c r="CY62">
        <f t="shared" si="25"/>
        <v>584.69000000000005</v>
      </c>
      <c r="CZ62">
        <f t="shared" si="26"/>
        <v>584.69000000000005</v>
      </c>
      <c r="DA62">
        <f t="shared" si="27"/>
        <v>1</v>
      </c>
      <c r="DB62">
        <f t="shared" si="13"/>
        <v>473.6</v>
      </c>
      <c r="DC62">
        <f t="shared" si="14"/>
        <v>0</v>
      </c>
      <c r="DD62" t="s">
        <v>3</v>
      </c>
      <c r="DE62" t="s">
        <v>3</v>
      </c>
      <c r="DF62">
        <f t="shared" si="24"/>
        <v>0</v>
      </c>
      <c r="DG62">
        <f t="shared" si="22"/>
        <v>0</v>
      </c>
      <c r="DH62">
        <f t="shared" si="17"/>
        <v>0</v>
      </c>
      <c r="DI62">
        <f t="shared" si="18"/>
        <v>947.2</v>
      </c>
      <c r="DJ62">
        <f t="shared" si="28"/>
        <v>947.2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ROW(Source!A151)</f>
        <v>151</v>
      </c>
      <c r="B63">
        <v>61625010</v>
      </c>
      <c r="C63">
        <v>61625934</v>
      </c>
      <c r="D63">
        <v>56217452</v>
      </c>
      <c r="E63">
        <v>108</v>
      </c>
      <c r="F63">
        <v>1</v>
      </c>
      <c r="G63">
        <v>1</v>
      </c>
      <c r="H63">
        <v>1</v>
      </c>
      <c r="I63" t="s">
        <v>312</v>
      </c>
      <c r="J63" t="s">
        <v>3</v>
      </c>
      <c r="K63" t="s">
        <v>313</v>
      </c>
      <c r="L63">
        <v>1369</v>
      </c>
      <c r="N63">
        <v>1013</v>
      </c>
      <c r="O63" t="s">
        <v>311</v>
      </c>
      <c r="P63" t="s">
        <v>311</v>
      </c>
      <c r="Q63">
        <v>1</v>
      </c>
      <c r="W63">
        <v>0</v>
      </c>
      <c r="X63">
        <v>126826561</v>
      </c>
      <c r="Y63">
        <f t="shared" si="12"/>
        <v>0.81</v>
      </c>
      <c r="AA63">
        <v>0</v>
      </c>
      <c r="AB63">
        <v>0</v>
      </c>
      <c r="AC63">
        <v>0</v>
      </c>
      <c r="AD63">
        <v>571.70000000000005</v>
      </c>
      <c r="AE63">
        <v>0</v>
      </c>
      <c r="AF63">
        <v>0</v>
      </c>
      <c r="AG63">
        <v>0</v>
      </c>
      <c r="AH63">
        <v>571.70000000000005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0.81</v>
      </c>
      <c r="AU63" t="s">
        <v>3</v>
      </c>
      <c r="AV63">
        <v>1</v>
      </c>
      <c r="AW63">
        <v>2</v>
      </c>
      <c r="AX63">
        <v>61625938</v>
      </c>
      <c r="AY63">
        <v>1</v>
      </c>
      <c r="AZ63">
        <v>0</v>
      </c>
      <c r="BA63">
        <v>64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463.07700000000006</v>
      </c>
      <c r="BN63">
        <v>0.81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463.07700000000006</v>
      </c>
      <c r="BU63">
        <v>0.81</v>
      </c>
      <c r="BV63">
        <v>0</v>
      </c>
      <c r="BW63">
        <v>1</v>
      </c>
      <c r="CU63">
        <f>ROUND(AT63*Source!I151*AH63*AL63,2)</f>
        <v>926.15</v>
      </c>
      <c r="CV63">
        <f>ROUND(Y63*Source!I151,7)</f>
        <v>1.62</v>
      </c>
      <c r="CW63">
        <v>0</v>
      </c>
      <c r="CX63">
        <f>ROUND(Y63*Source!I151,7)</f>
        <v>1.62</v>
      </c>
      <c r="CY63">
        <f t="shared" si="25"/>
        <v>571.70000000000005</v>
      </c>
      <c r="CZ63">
        <f t="shared" si="26"/>
        <v>571.70000000000005</v>
      </c>
      <c r="DA63">
        <f t="shared" si="27"/>
        <v>1</v>
      </c>
      <c r="DB63">
        <f t="shared" si="13"/>
        <v>463.08</v>
      </c>
      <c r="DC63">
        <f t="shared" si="14"/>
        <v>0</v>
      </c>
      <c r="DD63" t="s">
        <v>3</v>
      </c>
      <c r="DE63" t="s">
        <v>3</v>
      </c>
      <c r="DF63">
        <f t="shared" si="24"/>
        <v>0</v>
      </c>
      <c r="DG63">
        <f t="shared" si="22"/>
        <v>0</v>
      </c>
      <c r="DH63">
        <f t="shared" si="17"/>
        <v>0</v>
      </c>
      <c r="DI63">
        <f t="shared" si="18"/>
        <v>926.15</v>
      </c>
      <c r="DJ63">
        <f t="shared" si="28"/>
        <v>926.15</v>
      </c>
      <c r="DK63">
        <v>1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ROW(Source!A152)</f>
        <v>152</v>
      </c>
      <c r="B64">
        <v>61625010</v>
      </c>
      <c r="C64">
        <v>61625939</v>
      </c>
      <c r="D64">
        <v>56217421</v>
      </c>
      <c r="E64">
        <v>108</v>
      </c>
      <c r="F64">
        <v>1</v>
      </c>
      <c r="G64">
        <v>1</v>
      </c>
      <c r="H64">
        <v>1</v>
      </c>
      <c r="I64" t="s">
        <v>309</v>
      </c>
      <c r="J64" t="s">
        <v>3</v>
      </c>
      <c r="K64" t="s">
        <v>310</v>
      </c>
      <c r="L64">
        <v>1369</v>
      </c>
      <c r="N64">
        <v>1013</v>
      </c>
      <c r="O64" t="s">
        <v>311</v>
      </c>
      <c r="P64" t="s">
        <v>311</v>
      </c>
      <c r="Q64">
        <v>1</v>
      </c>
      <c r="W64">
        <v>0</v>
      </c>
      <c r="X64">
        <v>286205319</v>
      </c>
      <c r="Y64">
        <f t="shared" si="12"/>
        <v>6.48</v>
      </c>
      <c r="AA64">
        <v>0</v>
      </c>
      <c r="AB64">
        <v>0</v>
      </c>
      <c r="AC64">
        <v>0</v>
      </c>
      <c r="AD64">
        <v>584.69000000000005</v>
      </c>
      <c r="AE64">
        <v>0</v>
      </c>
      <c r="AF64">
        <v>0</v>
      </c>
      <c r="AG64">
        <v>0</v>
      </c>
      <c r="AH64">
        <v>584.69000000000005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0</v>
      </c>
      <c r="AQ64">
        <v>1</v>
      </c>
      <c r="AR64">
        <v>0</v>
      </c>
      <c r="AS64" t="s">
        <v>3</v>
      </c>
      <c r="AT64">
        <v>6.48</v>
      </c>
      <c r="AU64" t="s">
        <v>3</v>
      </c>
      <c r="AV64">
        <v>1</v>
      </c>
      <c r="AW64">
        <v>2</v>
      </c>
      <c r="AX64">
        <v>61625942</v>
      </c>
      <c r="AY64">
        <v>1</v>
      </c>
      <c r="AZ64">
        <v>0</v>
      </c>
      <c r="BA64">
        <v>65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3788.7912000000006</v>
      </c>
      <c r="BN64">
        <v>6.48</v>
      </c>
      <c r="BO64">
        <v>0</v>
      </c>
      <c r="BP64">
        <v>1</v>
      </c>
      <c r="BQ64">
        <v>0</v>
      </c>
      <c r="BR64">
        <v>0</v>
      </c>
      <c r="BS64">
        <v>0</v>
      </c>
      <c r="BT64">
        <v>3788.7912000000006</v>
      </c>
      <c r="BU64">
        <v>6.48</v>
      </c>
      <c r="BV64">
        <v>0</v>
      </c>
      <c r="BW64">
        <v>1</v>
      </c>
      <c r="CU64">
        <f>ROUND(AT64*Source!I152*AH64*AL64,2)</f>
        <v>75.78</v>
      </c>
      <c r="CV64">
        <f>ROUND(Y64*Source!I152,7)</f>
        <v>0.12959999999999999</v>
      </c>
      <c r="CW64">
        <v>0</v>
      </c>
      <c r="CX64">
        <f>ROUND(Y64*Source!I152,7)</f>
        <v>0.12959999999999999</v>
      </c>
      <c r="CY64">
        <f t="shared" si="25"/>
        <v>584.69000000000005</v>
      </c>
      <c r="CZ64">
        <f t="shared" si="26"/>
        <v>584.69000000000005</v>
      </c>
      <c r="DA64">
        <f t="shared" si="27"/>
        <v>1</v>
      </c>
      <c r="DB64">
        <f t="shared" si="13"/>
        <v>3788.79</v>
      </c>
      <c r="DC64">
        <f t="shared" si="14"/>
        <v>0</v>
      </c>
      <c r="DD64" t="s">
        <v>3</v>
      </c>
      <c r="DE64" t="s">
        <v>3</v>
      </c>
      <c r="DF64">
        <f t="shared" si="24"/>
        <v>0</v>
      </c>
      <c r="DG64">
        <f t="shared" si="22"/>
        <v>0</v>
      </c>
      <c r="DH64">
        <f t="shared" si="17"/>
        <v>0</v>
      </c>
      <c r="DI64">
        <f t="shared" si="18"/>
        <v>75.78</v>
      </c>
      <c r="DJ64">
        <f t="shared" si="28"/>
        <v>75.78</v>
      </c>
      <c r="DK64">
        <v>1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ROW(Source!A152)</f>
        <v>152</v>
      </c>
      <c r="B65">
        <v>61625010</v>
      </c>
      <c r="C65">
        <v>61625939</v>
      </c>
      <c r="D65">
        <v>56217452</v>
      </c>
      <c r="E65">
        <v>108</v>
      </c>
      <c r="F65">
        <v>1</v>
      </c>
      <c r="G65">
        <v>1</v>
      </c>
      <c r="H65">
        <v>1</v>
      </c>
      <c r="I65" t="s">
        <v>312</v>
      </c>
      <c r="J65" t="s">
        <v>3</v>
      </c>
      <c r="K65" t="s">
        <v>313</v>
      </c>
      <c r="L65">
        <v>1369</v>
      </c>
      <c r="N65">
        <v>1013</v>
      </c>
      <c r="O65" t="s">
        <v>311</v>
      </c>
      <c r="P65" t="s">
        <v>311</v>
      </c>
      <c r="Q65">
        <v>1</v>
      </c>
      <c r="W65">
        <v>0</v>
      </c>
      <c r="X65">
        <v>126826561</v>
      </c>
      <c r="Y65">
        <f t="shared" si="12"/>
        <v>6.48</v>
      </c>
      <c r="AA65">
        <v>0</v>
      </c>
      <c r="AB65">
        <v>0</v>
      </c>
      <c r="AC65">
        <v>0</v>
      </c>
      <c r="AD65">
        <v>571.70000000000005</v>
      </c>
      <c r="AE65">
        <v>0</v>
      </c>
      <c r="AF65">
        <v>0</v>
      </c>
      <c r="AG65">
        <v>0</v>
      </c>
      <c r="AH65">
        <v>571.70000000000005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0</v>
      </c>
      <c r="AP65">
        <v>0</v>
      </c>
      <c r="AQ65">
        <v>1</v>
      </c>
      <c r="AR65">
        <v>0</v>
      </c>
      <c r="AS65" t="s">
        <v>3</v>
      </c>
      <c r="AT65">
        <v>6.48</v>
      </c>
      <c r="AU65" t="s">
        <v>3</v>
      </c>
      <c r="AV65">
        <v>1</v>
      </c>
      <c r="AW65">
        <v>2</v>
      </c>
      <c r="AX65">
        <v>61625943</v>
      </c>
      <c r="AY65">
        <v>1</v>
      </c>
      <c r="AZ65">
        <v>0</v>
      </c>
      <c r="BA65">
        <v>66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3704.6160000000004</v>
      </c>
      <c r="BN65">
        <v>6.48</v>
      </c>
      <c r="BO65">
        <v>0</v>
      </c>
      <c r="BP65">
        <v>1</v>
      </c>
      <c r="BQ65">
        <v>0</v>
      </c>
      <c r="BR65">
        <v>0</v>
      </c>
      <c r="BS65">
        <v>0</v>
      </c>
      <c r="BT65">
        <v>3704.6160000000004</v>
      </c>
      <c r="BU65">
        <v>6.48</v>
      </c>
      <c r="BV65">
        <v>0</v>
      </c>
      <c r="BW65">
        <v>1</v>
      </c>
      <c r="CU65">
        <f>ROUND(AT65*Source!I152*AH65*AL65,2)</f>
        <v>74.09</v>
      </c>
      <c r="CV65">
        <f>ROUND(Y65*Source!I152,7)</f>
        <v>0.12959999999999999</v>
      </c>
      <c r="CW65">
        <v>0</v>
      </c>
      <c r="CX65">
        <f>ROUND(Y65*Source!I152,7)</f>
        <v>0.12959999999999999</v>
      </c>
      <c r="CY65">
        <f t="shared" si="25"/>
        <v>571.70000000000005</v>
      </c>
      <c r="CZ65">
        <f t="shared" si="26"/>
        <v>571.70000000000005</v>
      </c>
      <c r="DA65">
        <f t="shared" si="27"/>
        <v>1</v>
      </c>
      <c r="DB65">
        <f t="shared" si="13"/>
        <v>3704.62</v>
      </c>
      <c r="DC65">
        <f t="shared" si="14"/>
        <v>0</v>
      </c>
      <c r="DD65" t="s">
        <v>3</v>
      </c>
      <c r="DE65" t="s">
        <v>3</v>
      </c>
      <c r="DF65">
        <f t="shared" si="24"/>
        <v>0</v>
      </c>
      <c r="DG65">
        <f t="shared" si="22"/>
        <v>0</v>
      </c>
      <c r="DH65">
        <f t="shared" si="17"/>
        <v>0</v>
      </c>
      <c r="DI65">
        <f t="shared" si="18"/>
        <v>74.09</v>
      </c>
      <c r="DJ65">
        <f t="shared" si="28"/>
        <v>74.09</v>
      </c>
      <c r="DK65">
        <v>1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ROW(Source!A153)</f>
        <v>153</v>
      </c>
      <c r="B66">
        <v>61625010</v>
      </c>
      <c r="C66">
        <v>61625944</v>
      </c>
      <c r="D66">
        <v>56217421</v>
      </c>
      <c r="E66">
        <v>108</v>
      </c>
      <c r="F66">
        <v>1</v>
      </c>
      <c r="G66">
        <v>1</v>
      </c>
      <c r="H66">
        <v>1</v>
      </c>
      <c r="I66" t="s">
        <v>309</v>
      </c>
      <c r="J66" t="s">
        <v>3</v>
      </c>
      <c r="K66" t="s">
        <v>310</v>
      </c>
      <c r="L66">
        <v>1369</v>
      </c>
      <c r="N66">
        <v>1013</v>
      </c>
      <c r="O66" t="s">
        <v>311</v>
      </c>
      <c r="P66" t="s">
        <v>311</v>
      </c>
      <c r="Q66">
        <v>1</v>
      </c>
      <c r="W66">
        <v>0</v>
      </c>
      <c r="X66">
        <v>286205319</v>
      </c>
      <c r="Y66">
        <f t="shared" si="12"/>
        <v>1.62</v>
      </c>
      <c r="AA66">
        <v>0</v>
      </c>
      <c r="AB66">
        <v>0</v>
      </c>
      <c r="AC66">
        <v>0</v>
      </c>
      <c r="AD66">
        <v>584.69000000000005</v>
      </c>
      <c r="AE66">
        <v>0</v>
      </c>
      <c r="AF66">
        <v>0</v>
      </c>
      <c r="AG66">
        <v>0</v>
      </c>
      <c r="AH66">
        <v>584.69000000000005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1.62</v>
      </c>
      <c r="AU66" t="s">
        <v>3</v>
      </c>
      <c r="AV66">
        <v>1</v>
      </c>
      <c r="AW66">
        <v>2</v>
      </c>
      <c r="AX66">
        <v>61625947</v>
      </c>
      <c r="AY66">
        <v>1</v>
      </c>
      <c r="AZ66">
        <v>0</v>
      </c>
      <c r="BA66">
        <v>67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947.19780000000014</v>
      </c>
      <c r="BN66">
        <v>1.62</v>
      </c>
      <c r="BO66">
        <v>0</v>
      </c>
      <c r="BP66">
        <v>1</v>
      </c>
      <c r="BQ66">
        <v>0</v>
      </c>
      <c r="BR66">
        <v>0</v>
      </c>
      <c r="BS66">
        <v>0</v>
      </c>
      <c r="BT66">
        <v>947.19780000000014</v>
      </c>
      <c r="BU66">
        <v>1.62</v>
      </c>
      <c r="BV66">
        <v>0</v>
      </c>
      <c r="BW66">
        <v>1</v>
      </c>
      <c r="CU66">
        <f>ROUND(AT66*Source!I153*AH66*AL66,2)</f>
        <v>1894.4</v>
      </c>
      <c r="CV66">
        <f>ROUND(Y66*Source!I153,7)</f>
        <v>3.24</v>
      </c>
      <c r="CW66">
        <v>0</v>
      </c>
      <c r="CX66">
        <f>ROUND(Y66*Source!I153,7)</f>
        <v>3.24</v>
      </c>
      <c r="CY66">
        <f t="shared" si="25"/>
        <v>584.69000000000005</v>
      </c>
      <c r="CZ66">
        <f t="shared" si="26"/>
        <v>584.69000000000005</v>
      </c>
      <c r="DA66">
        <f t="shared" si="27"/>
        <v>1</v>
      </c>
      <c r="DB66">
        <f t="shared" si="13"/>
        <v>947.2</v>
      </c>
      <c r="DC66">
        <f t="shared" si="14"/>
        <v>0</v>
      </c>
      <c r="DD66" t="s">
        <v>3</v>
      </c>
      <c r="DE66" t="s">
        <v>3</v>
      </c>
      <c r="DF66">
        <f t="shared" si="24"/>
        <v>0</v>
      </c>
      <c r="DG66">
        <f t="shared" si="22"/>
        <v>0</v>
      </c>
      <c r="DH66">
        <f t="shared" si="17"/>
        <v>0</v>
      </c>
      <c r="DI66">
        <f t="shared" si="18"/>
        <v>1894.4</v>
      </c>
      <c r="DJ66">
        <f t="shared" si="28"/>
        <v>1894.4</v>
      </c>
      <c r="DK66">
        <v>1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ROW(Source!A153)</f>
        <v>153</v>
      </c>
      <c r="B67">
        <v>61625010</v>
      </c>
      <c r="C67">
        <v>61625944</v>
      </c>
      <c r="D67">
        <v>56217452</v>
      </c>
      <c r="E67">
        <v>108</v>
      </c>
      <c r="F67">
        <v>1</v>
      </c>
      <c r="G67">
        <v>1</v>
      </c>
      <c r="H67">
        <v>1</v>
      </c>
      <c r="I67" t="s">
        <v>312</v>
      </c>
      <c r="J67" t="s">
        <v>3</v>
      </c>
      <c r="K67" t="s">
        <v>313</v>
      </c>
      <c r="L67">
        <v>1369</v>
      </c>
      <c r="N67">
        <v>1013</v>
      </c>
      <c r="O67" t="s">
        <v>311</v>
      </c>
      <c r="P67" t="s">
        <v>311</v>
      </c>
      <c r="Q67">
        <v>1</v>
      </c>
      <c r="W67">
        <v>0</v>
      </c>
      <c r="X67">
        <v>126826561</v>
      </c>
      <c r="Y67">
        <f t="shared" si="12"/>
        <v>1.62</v>
      </c>
      <c r="AA67">
        <v>0</v>
      </c>
      <c r="AB67">
        <v>0</v>
      </c>
      <c r="AC67">
        <v>0</v>
      </c>
      <c r="AD67">
        <v>571.70000000000005</v>
      </c>
      <c r="AE67">
        <v>0</v>
      </c>
      <c r="AF67">
        <v>0</v>
      </c>
      <c r="AG67">
        <v>0</v>
      </c>
      <c r="AH67">
        <v>571.70000000000005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0</v>
      </c>
      <c r="AQ67">
        <v>1</v>
      </c>
      <c r="AR67">
        <v>0</v>
      </c>
      <c r="AS67" t="s">
        <v>3</v>
      </c>
      <c r="AT67">
        <v>1.62</v>
      </c>
      <c r="AU67" t="s">
        <v>3</v>
      </c>
      <c r="AV67">
        <v>1</v>
      </c>
      <c r="AW67">
        <v>2</v>
      </c>
      <c r="AX67">
        <v>61625948</v>
      </c>
      <c r="AY67">
        <v>1</v>
      </c>
      <c r="AZ67">
        <v>0</v>
      </c>
      <c r="BA67">
        <v>68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926.15400000000011</v>
      </c>
      <c r="BN67">
        <v>1.62</v>
      </c>
      <c r="BO67">
        <v>0</v>
      </c>
      <c r="BP67">
        <v>1</v>
      </c>
      <c r="BQ67">
        <v>0</v>
      </c>
      <c r="BR67">
        <v>0</v>
      </c>
      <c r="BS67">
        <v>0</v>
      </c>
      <c r="BT67">
        <v>926.15400000000011</v>
      </c>
      <c r="BU67">
        <v>1.62</v>
      </c>
      <c r="BV67">
        <v>0</v>
      </c>
      <c r="BW67">
        <v>1</v>
      </c>
      <c r="CU67">
        <f>ROUND(AT67*Source!I153*AH67*AL67,2)</f>
        <v>1852.31</v>
      </c>
      <c r="CV67">
        <f>ROUND(Y67*Source!I153,7)</f>
        <v>3.24</v>
      </c>
      <c r="CW67">
        <v>0</v>
      </c>
      <c r="CX67">
        <f>ROUND(Y67*Source!I153,7)</f>
        <v>3.24</v>
      </c>
      <c r="CY67">
        <f t="shared" si="25"/>
        <v>571.70000000000005</v>
      </c>
      <c r="CZ67">
        <f t="shared" si="26"/>
        <v>571.70000000000005</v>
      </c>
      <c r="DA67">
        <f t="shared" si="27"/>
        <v>1</v>
      </c>
      <c r="DB67">
        <f t="shared" si="13"/>
        <v>926.15</v>
      </c>
      <c r="DC67">
        <f t="shared" si="14"/>
        <v>0</v>
      </c>
      <c r="DD67" t="s">
        <v>3</v>
      </c>
      <c r="DE67" t="s">
        <v>3</v>
      </c>
      <c r="DF67">
        <f t="shared" si="24"/>
        <v>0</v>
      </c>
      <c r="DG67">
        <f t="shared" si="22"/>
        <v>0</v>
      </c>
      <c r="DH67">
        <f t="shared" si="17"/>
        <v>0</v>
      </c>
      <c r="DI67">
        <f t="shared" si="18"/>
        <v>1852.31</v>
      </c>
      <c r="DJ67">
        <f t="shared" si="28"/>
        <v>1852.31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248" spans="9:9" x14ac:dyDescent="0.2">
      <c r="I24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A024-B31B-4543-8668-71D6BFBFBBDB}">
  <dimension ref="A1:AR6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61625977</v>
      </c>
      <c r="C1">
        <v>61625135</v>
      </c>
      <c r="D1">
        <v>60458000</v>
      </c>
      <c r="E1">
        <v>110</v>
      </c>
      <c r="F1">
        <v>1</v>
      </c>
      <c r="G1">
        <v>1</v>
      </c>
      <c r="H1">
        <v>1</v>
      </c>
      <c r="I1" t="s">
        <v>262</v>
      </c>
      <c r="J1" t="s">
        <v>3</v>
      </c>
      <c r="K1" t="s">
        <v>263</v>
      </c>
      <c r="L1">
        <v>1191</v>
      </c>
      <c r="N1">
        <v>1013</v>
      </c>
      <c r="O1" t="s">
        <v>264</v>
      </c>
      <c r="P1" t="s">
        <v>264</v>
      </c>
      <c r="Q1">
        <v>1</v>
      </c>
      <c r="X1">
        <v>22.7</v>
      </c>
      <c r="Y1">
        <v>0</v>
      </c>
      <c r="Z1">
        <v>0</v>
      </c>
      <c r="AA1">
        <v>0</v>
      </c>
      <c r="AB1">
        <v>435.27</v>
      </c>
      <c r="AC1">
        <v>0</v>
      </c>
      <c r="AD1">
        <v>1</v>
      </c>
      <c r="AE1">
        <v>1</v>
      </c>
      <c r="AF1" t="s">
        <v>27</v>
      </c>
      <c r="AG1">
        <v>6.81</v>
      </c>
      <c r="AH1">
        <v>2</v>
      </c>
      <c r="AI1">
        <v>61625977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61625978</v>
      </c>
      <c r="C2">
        <v>61625135</v>
      </c>
      <c r="D2">
        <v>60458172</v>
      </c>
      <c r="E2">
        <v>110</v>
      </c>
      <c r="F2">
        <v>1</v>
      </c>
      <c r="G2">
        <v>1</v>
      </c>
      <c r="H2">
        <v>1</v>
      </c>
      <c r="I2" t="s">
        <v>265</v>
      </c>
      <c r="J2" t="s">
        <v>3</v>
      </c>
      <c r="K2" t="s">
        <v>266</v>
      </c>
      <c r="L2">
        <v>1191</v>
      </c>
      <c r="N2">
        <v>1013</v>
      </c>
      <c r="O2" t="s">
        <v>264</v>
      </c>
      <c r="P2" t="s">
        <v>264</v>
      </c>
      <c r="Q2">
        <v>1</v>
      </c>
      <c r="X2">
        <v>2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27</v>
      </c>
      <c r="AG2">
        <v>0.6</v>
      </c>
      <c r="AH2">
        <v>2</v>
      </c>
      <c r="AI2">
        <v>61625978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61625979</v>
      </c>
      <c r="C3">
        <v>61625135</v>
      </c>
      <c r="D3">
        <v>60465258</v>
      </c>
      <c r="E3">
        <v>1</v>
      </c>
      <c r="F3">
        <v>1</v>
      </c>
      <c r="G3">
        <v>1</v>
      </c>
      <c r="H3">
        <v>2</v>
      </c>
      <c r="I3" t="s">
        <v>267</v>
      </c>
      <c r="J3" t="s">
        <v>268</v>
      </c>
      <c r="K3" t="s">
        <v>269</v>
      </c>
      <c r="L3">
        <v>1368</v>
      </c>
      <c r="N3">
        <v>1011</v>
      </c>
      <c r="O3" t="s">
        <v>270</v>
      </c>
      <c r="P3" t="s">
        <v>270</v>
      </c>
      <c r="Q3">
        <v>1</v>
      </c>
      <c r="X3">
        <v>1</v>
      </c>
      <c r="Y3">
        <v>0</v>
      </c>
      <c r="Z3">
        <v>1459.82</v>
      </c>
      <c r="AA3">
        <v>584.69000000000005</v>
      </c>
      <c r="AB3">
        <v>0</v>
      </c>
      <c r="AC3">
        <v>0</v>
      </c>
      <c r="AD3">
        <v>1</v>
      </c>
      <c r="AE3">
        <v>0</v>
      </c>
      <c r="AF3" t="s">
        <v>27</v>
      </c>
      <c r="AG3">
        <v>0.3</v>
      </c>
      <c r="AH3">
        <v>2</v>
      </c>
      <c r="AI3">
        <v>61625979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61625980</v>
      </c>
      <c r="C4">
        <v>61625135</v>
      </c>
      <c r="D4">
        <v>60466143</v>
      </c>
      <c r="E4">
        <v>1</v>
      </c>
      <c r="F4">
        <v>1</v>
      </c>
      <c r="G4">
        <v>1</v>
      </c>
      <c r="H4">
        <v>2</v>
      </c>
      <c r="I4" t="s">
        <v>272</v>
      </c>
      <c r="J4" t="s">
        <v>273</v>
      </c>
      <c r="K4" t="s">
        <v>274</v>
      </c>
      <c r="L4">
        <v>1368</v>
      </c>
      <c r="N4">
        <v>1011</v>
      </c>
      <c r="O4" t="s">
        <v>270</v>
      </c>
      <c r="P4" t="s">
        <v>270</v>
      </c>
      <c r="Q4">
        <v>1</v>
      </c>
      <c r="X4">
        <v>1</v>
      </c>
      <c r="Y4">
        <v>0</v>
      </c>
      <c r="Z4">
        <v>477.92</v>
      </c>
      <c r="AA4">
        <v>435.27</v>
      </c>
      <c r="AB4">
        <v>0</v>
      </c>
      <c r="AC4">
        <v>0</v>
      </c>
      <c r="AD4">
        <v>1</v>
      </c>
      <c r="AE4">
        <v>0</v>
      </c>
      <c r="AF4" t="s">
        <v>27</v>
      </c>
      <c r="AG4">
        <v>0.3</v>
      </c>
      <c r="AH4">
        <v>2</v>
      </c>
      <c r="AI4">
        <v>61625980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61625981</v>
      </c>
      <c r="C5">
        <v>61625135</v>
      </c>
      <c r="D5">
        <v>60532964</v>
      </c>
      <c r="E5">
        <v>1</v>
      </c>
      <c r="F5">
        <v>1</v>
      </c>
      <c r="G5">
        <v>1</v>
      </c>
      <c r="H5">
        <v>3</v>
      </c>
      <c r="I5" t="s">
        <v>276</v>
      </c>
      <c r="J5" t="s">
        <v>277</v>
      </c>
      <c r="K5" t="s">
        <v>278</v>
      </c>
      <c r="L5">
        <v>1346</v>
      </c>
      <c r="N5">
        <v>1009</v>
      </c>
      <c r="O5" t="s">
        <v>106</v>
      </c>
      <c r="P5" t="s">
        <v>106</v>
      </c>
      <c r="Q5">
        <v>1</v>
      </c>
      <c r="X5">
        <v>0.42</v>
      </c>
      <c r="Y5">
        <v>174.93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26</v>
      </c>
      <c r="AG5">
        <v>0</v>
      </c>
      <c r="AH5">
        <v>2</v>
      </c>
      <c r="AI5">
        <v>61625981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61625982</v>
      </c>
      <c r="C6">
        <v>61625135</v>
      </c>
      <c r="D6">
        <v>60539739</v>
      </c>
      <c r="E6">
        <v>1</v>
      </c>
      <c r="F6">
        <v>1</v>
      </c>
      <c r="G6">
        <v>1</v>
      </c>
      <c r="H6">
        <v>3</v>
      </c>
      <c r="I6" t="s">
        <v>279</v>
      </c>
      <c r="J6" t="s">
        <v>280</v>
      </c>
      <c r="K6" t="s">
        <v>281</v>
      </c>
      <c r="L6">
        <v>1348</v>
      </c>
      <c r="N6">
        <v>1009</v>
      </c>
      <c r="O6" t="s">
        <v>282</v>
      </c>
      <c r="P6" t="s">
        <v>282</v>
      </c>
      <c r="Q6">
        <v>1000</v>
      </c>
      <c r="X6">
        <v>1E-3</v>
      </c>
      <c r="Y6">
        <v>70310.45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26</v>
      </c>
      <c r="AG6">
        <v>0</v>
      </c>
      <c r="AH6">
        <v>2</v>
      </c>
      <c r="AI6">
        <v>61625982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61625983</v>
      </c>
      <c r="C7">
        <v>61625135</v>
      </c>
      <c r="D7">
        <v>60549173</v>
      </c>
      <c r="E7">
        <v>1</v>
      </c>
      <c r="F7">
        <v>1</v>
      </c>
      <c r="G7">
        <v>1</v>
      </c>
      <c r="H7">
        <v>3</v>
      </c>
      <c r="I7" t="s">
        <v>283</v>
      </c>
      <c r="J7" t="s">
        <v>284</v>
      </c>
      <c r="K7" t="s">
        <v>285</v>
      </c>
      <c r="L7">
        <v>1346</v>
      </c>
      <c r="N7">
        <v>1009</v>
      </c>
      <c r="O7" t="s">
        <v>106</v>
      </c>
      <c r="P7" t="s">
        <v>106</v>
      </c>
      <c r="Q7">
        <v>1</v>
      </c>
      <c r="X7">
        <v>0.3</v>
      </c>
      <c r="Y7">
        <v>79.88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26</v>
      </c>
      <c r="AG7">
        <v>0</v>
      </c>
      <c r="AH7">
        <v>2</v>
      </c>
      <c r="AI7">
        <v>61625983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61625984</v>
      </c>
      <c r="C8">
        <v>61625135</v>
      </c>
      <c r="D8">
        <v>60463688</v>
      </c>
      <c r="E8">
        <v>110</v>
      </c>
      <c r="F8">
        <v>1</v>
      </c>
      <c r="G8">
        <v>1</v>
      </c>
      <c r="H8">
        <v>3</v>
      </c>
      <c r="I8" t="s">
        <v>286</v>
      </c>
      <c r="J8" t="s">
        <v>3</v>
      </c>
      <c r="K8" t="s">
        <v>287</v>
      </c>
      <c r="L8">
        <v>3277935</v>
      </c>
      <c r="N8">
        <v>1013</v>
      </c>
      <c r="O8" t="s">
        <v>288</v>
      </c>
      <c r="P8" t="s">
        <v>288</v>
      </c>
      <c r="Q8">
        <v>1</v>
      </c>
      <c r="X8">
        <v>2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26</v>
      </c>
      <c r="AG8">
        <v>0</v>
      </c>
      <c r="AH8">
        <v>2</v>
      </c>
      <c r="AI8">
        <v>61625984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61625950</v>
      </c>
      <c r="C9">
        <v>61625949</v>
      </c>
      <c r="D9">
        <v>56217220</v>
      </c>
      <c r="E9">
        <v>108</v>
      </c>
      <c r="F9">
        <v>1</v>
      </c>
      <c r="G9">
        <v>1</v>
      </c>
      <c r="H9">
        <v>1</v>
      </c>
      <c r="I9" t="s">
        <v>262</v>
      </c>
      <c r="J9" t="s">
        <v>3</v>
      </c>
      <c r="K9" t="s">
        <v>263</v>
      </c>
      <c r="L9">
        <v>1191</v>
      </c>
      <c r="N9">
        <v>1013</v>
      </c>
      <c r="O9" t="s">
        <v>264</v>
      </c>
      <c r="P9" t="s">
        <v>264</v>
      </c>
      <c r="Q9">
        <v>1</v>
      </c>
      <c r="X9">
        <v>50.5</v>
      </c>
      <c r="Y9">
        <v>0</v>
      </c>
      <c r="Z9">
        <v>0</v>
      </c>
      <c r="AA9">
        <v>0</v>
      </c>
      <c r="AB9">
        <v>435.27</v>
      </c>
      <c r="AC9">
        <v>0</v>
      </c>
      <c r="AD9">
        <v>1</v>
      </c>
      <c r="AE9">
        <v>1</v>
      </c>
      <c r="AF9" t="s">
        <v>27</v>
      </c>
      <c r="AG9">
        <v>15.149999999999999</v>
      </c>
      <c r="AH9">
        <v>2</v>
      </c>
      <c r="AI9">
        <v>61625950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ROW(Source!A29)</f>
        <v>29</v>
      </c>
      <c r="B10">
        <v>61625951</v>
      </c>
      <c r="C10">
        <v>61625949</v>
      </c>
      <c r="D10">
        <v>56217458</v>
      </c>
      <c r="E10">
        <v>108</v>
      </c>
      <c r="F10">
        <v>1</v>
      </c>
      <c r="G10">
        <v>1</v>
      </c>
      <c r="H10">
        <v>1</v>
      </c>
      <c r="I10" t="s">
        <v>265</v>
      </c>
      <c r="J10" t="s">
        <v>3</v>
      </c>
      <c r="K10" t="s">
        <v>266</v>
      </c>
      <c r="L10">
        <v>1191</v>
      </c>
      <c r="N10">
        <v>1013</v>
      </c>
      <c r="O10" t="s">
        <v>264</v>
      </c>
      <c r="P10" t="s">
        <v>264</v>
      </c>
      <c r="Q10">
        <v>1</v>
      </c>
      <c r="X10">
        <v>6.33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 t="s">
        <v>27</v>
      </c>
      <c r="AG10">
        <v>1.899</v>
      </c>
      <c r="AH10">
        <v>2</v>
      </c>
      <c r="AI10">
        <v>61625951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ROW(Source!A29)</f>
        <v>29</v>
      </c>
      <c r="B11">
        <v>61625952</v>
      </c>
      <c r="C11">
        <v>61625949</v>
      </c>
      <c r="D11">
        <v>56571417</v>
      </c>
      <c r="E11">
        <v>1</v>
      </c>
      <c r="F11">
        <v>1</v>
      </c>
      <c r="G11">
        <v>1</v>
      </c>
      <c r="H11">
        <v>2</v>
      </c>
      <c r="I11" t="s">
        <v>267</v>
      </c>
      <c r="J11" t="s">
        <v>268</v>
      </c>
      <c r="K11" t="s">
        <v>269</v>
      </c>
      <c r="L11">
        <v>1368</v>
      </c>
      <c r="N11">
        <v>1011</v>
      </c>
      <c r="O11" t="s">
        <v>270</v>
      </c>
      <c r="P11" t="s">
        <v>270</v>
      </c>
      <c r="Q11">
        <v>1</v>
      </c>
      <c r="X11">
        <v>0.2</v>
      </c>
      <c r="Y11">
        <v>0</v>
      </c>
      <c r="Z11">
        <v>1459.82</v>
      </c>
      <c r="AA11">
        <v>584.69000000000005</v>
      </c>
      <c r="AB11">
        <v>0</v>
      </c>
      <c r="AC11">
        <v>0</v>
      </c>
      <c r="AD11">
        <v>1</v>
      </c>
      <c r="AE11">
        <v>0</v>
      </c>
      <c r="AF11" t="s">
        <v>27</v>
      </c>
      <c r="AG11">
        <v>0.06</v>
      </c>
      <c r="AH11">
        <v>2</v>
      </c>
      <c r="AI11">
        <v>61625952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61625953</v>
      </c>
      <c r="C12">
        <v>61625949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272</v>
      </c>
      <c r="J12" t="s">
        <v>273</v>
      </c>
      <c r="K12" t="s">
        <v>274</v>
      </c>
      <c r="L12">
        <v>1368</v>
      </c>
      <c r="N12">
        <v>1011</v>
      </c>
      <c r="O12" t="s">
        <v>270</v>
      </c>
      <c r="P12" t="s">
        <v>270</v>
      </c>
      <c r="Q12">
        <v>1</v>
      </c>
      <c r="X12">
        <v>0.2</v>
      </c>
      <c r="Y12">
        <v>0</v>
      </c>
      <c r="Z12">
        <v>477.92</v>
      </c>
      <c r="AA12">
        <v>435.27</v>
      </c>
      <c r="AB12">
        <v>0</v>
      </c>
      <c r="AC12">
        <v>0</v>
      </c>
      <c r="AD12">
        <v>1</v>
      </c>
      <c r="AE12">
        <v>0</v>
      </c>
      <c r="AF12" t="s">
        <v>27</v>
      </c>
      <c r="AG12">
        <v>0.06</v>
      </c>
      <c r="AH12">
        <v>2</v>
      </c>
      <c r="AI12">
        <v>61625953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61625954</v>
      </c>
      <c r="C13">
        <v>61625949</v>
      </c>
      <c r="D13">
        <v>56573153</v>
      </c>
      <c r="E13">
        <v>1</v>
      </c>
      <c r="F13">
        <v>1</v>
      </c>
      <c r="G13">
        <v>1</v>
      </c>
      <c r="H13">
        <v>2</v>
      </c>
      <c r="I13" t="s">
        <v>289</v>
      </c>
      <c r="J13" t="s">
        <v>290</v>
      </c>
      <c r="K13" t="s">
        <v>291</v>
      </c>
      <c r="L13">
        <v>1368</v>
      </c>
      <c r="N13">
        <v>1011</v>
      </c>
      <c r="O13" t="s">
        <v>270</v>
      </c>
      <c r="P13" t="s">
        <v>270</v>
      </c>
      <c r="Q13">
        <v>1</v>
      </c>
      <c r="X13">
        <v>6.25</v>
      </c>
      <c r="Y13">
        <v>0</v>
      </c>
      <c r="Z13">
        <v>25.86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27</v>
      </c>
      <c r="AG13">
        <v>1.875</v>
      </c>
      <c r="AH13">
        <v>2</v>
      </c>
      <c r="AI13">
        <v>61625954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61625955</v>
      </c>
      <c r="C14">
        <v>61625949</v>
      </c>
      <c r="D14">
        <v>56574037</v>
      </c>
      <c r="E14">
        <v>1</v>
      </c>
      <c r="F14">
        <v>1</v>
      </c>
      <c r="G14">
        <v>1</v>
      </c>
      <c r="H14">
        <v>2</v>
      </c>
      <c r="I14" t="s">
        <v>292</v>
      </c>
      <c r="J14" t="s">
        <v>293</v>
      </c>
      <c r="K14" t="s">
        <v>294</v>
      </c>
      <c r="L14">
        <v>1368</v>
      </c>
      <c r="N14">
        <v>1011</v>
      </c>
      <c r="O14" t="s">
        <v>270</v>
      </c>
      <c r="P14" t="s">
        <v>270</v>
      </c>
      <c r="Q14">
        <v>1</v>
      </c>
      <c r="X14">
        <v>5.93</v>
      </c>
      <c r="Y14">
        <v>0</v>
      </c>
      <c r="Z14">
        <v>26.76</v>
      </c>
      <c r="AA14">
        <v>435.27</v>
      </c>
      <c r="AB14">
        <v>0</v>
      </c>
      <c r="AC14">
        <v>0</v>
      </c>
      <c r="AD14">
        <v>1</v>
      </c>
      <c r="AE14">
        <v>0</v>
      </c>
      <c r="AF14" t="s">
        <v>27</v>
      </c>
      <c r="AG14">
        <v>1.7789999999999999</v>
      </c>
      <c r="AH14">
        <v>2</v>
      </c>
      <c r="AI14">
        <v>61625955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ROW(Source!A29)</f>
        <v>29</v>
      </c>
      <c r="B15">
        <v>61625956</v>
      </c>
      <c r="C15">
        <v>61625949</v>
      </c>
      <c r="D15">
        <v>56574881</v>
      </c>
      <c r="E15">
        <v>1</v>
      </c>
      <c r="F15">
        <v>1</v>
      </c>
      <c r="G15">
        <v>1</v>
      </c>
      <c r="H15">
        <v>3</v>
      </c>
      <c r="I15" t="s">
        <v>295</v>
      </c>
      <c r="J15" t="s">
        <v>296</v>
      </c>
      <c r="K15" t="s">
        <v>297</v>
      </c>
      <c r="L15">
        <v>1339</v>
      </c>
      <c r="N15">
        <v>1007</v>
      </c>
      <c r="O15" t="s">
        <v>298</v>
      </c>
      <c r="P15" t="s">
        <v>298</v>
      </c>
      <c r="Q15">
        <v>1</v>
      </c>
      <c r="X15">
        <v>0.44</v>
      </c>
      <c r="Y15">
        <v>253.96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26</v>
      </c>
      <c r="AG15">
        <v>0</v>
      </c>
      <c r="AH15">
        <v>2</v>
      </c>
      <c r="AI15">
        <v>61625956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ROW(Source!A29)</f>
        <v>29</v>
      </c>
      <c r="B16">
        <v>61625957</v>
      </c>
      <c r="C16">
        <v>61625949</v>
      </c>
      <c r="D16">
        <v>56579266</v>
      </c>
      <c r="E16">
        <v>1</v>
      </c>
      <c r="F16">
        <v>1</v>
      </c>
      <c r="G16">
        <v>1</v>
      </c>
      <c r="H16">
        <v>3</v>
      </c>
      <c r="I16" t="s">
        <v>299</v>
      </c>
      <c r="J16" t="s">
        <v>300</v>
      </c>
      <c r="K16" t="s">
        <v>301</v>
      </c>
      <c r="L16">
        <v>1346</v>
      </c>
      <c r="N16">
        <v>1009</v>
      </c>
      <c r="O16" t="s">
        <v>106</v>
      </c>
      <c r="P16" t="s">
        <v>106</v>
      </c>
      <c r="Q16">
        <v>1</v>
      </c>
      <c r="X16">
        <v>0.03</v>
      </c>
      <c r="Y16">
        <v>155.63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26</v>
      </c>
      <c r="AG16">
        <v>0</v>
      </c>
      <c r="AH16">
        <v>2</v>
      </c>
      <c r="AI16">
        <v>61625957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ROW(Source!A29)</f>
        <v>29</v>
      </c>
      <c r="B17">
        <v>61625958</v>
      </c>
      <c r="C17">
        <v>61625949</v>
      </c>
      <c r="D17">
        <v>56594690</v>
      </c>
      <c r="E17">
        <v>1</v>
      </c>
      <c r="F17">
        <v>1</v>
      </c>
      <c r="G17">
        <v>1</v>
      </c>
      <c r="H17">
        <v>3</v>
      </c>
      <c r="I17" t="s">
        <v>302</v>
      </c>
      <c r="J17" t="s">
        <v>303</v>
      </c>
      <c r="K17" t="s">
        <v>304</v>
      </c>
      <c r="L17">
        <v>1348</v>
      </c>
      <c r="N17">
        <v>1009</v>
      </c>
      <c r="O17" t="s">
        <v>282</v>
      </c>
      <c r="P17" t="s">
        <v>282</v>
      </c>
      <c r="Q17">
        <v>1000</v>
      </c>
      <c r="X17">
        <v>1.2999999999999999E-4</v>
      </c>
      <c r="Y17">
        <v>709576.9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26</v>
      </c>
      <c r="AG17">
        <v>0</v>
      </c>
      <c r="AH17">
        <v>2</v>
      </c>
      <c r="AI17">
        <v>61625958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ROW(Source!A29)</f>
        <v>29</v>
      </c>
      <c r="B18">
        <v>61625959</v>
      </c>
      <c r="C18">
        <v>61625949</v>
      </c>
      <c r="D18">
        <v>56595160</v>
      </c>
      <c r="E18">
        <v>1</v>
      </c>
      <c r="F18">
        <v>1</v>
      </c>
      <c r="G18">
        <v>1</v>
      </c>
      <c r="H18">
        <v>3</v>
      </c>
      <c r="I18" t="s">
        <v>305</v>
      </c>
      <c r="J18" t="s">
        <v>306</v>
      </c>
      <c r="K18" t="s">
        <v>307</v>
      </c>
      <c r="L18">
        <v>1348</v>
      </c>
      <c r="N18">
        <v>1009</v>
      </c>
      <c r="O18" t="s">
        <v>282</v>
      </c>
      <c r="P18" t="s">
        <v>282</v>
      </c>
      <c r="Q18">
        <v>1000</v>
      </c>
      <c r="X18">
        <v>1.8000000000000001E-4</v>
      </c>
      <c r="Y18">
        <v>945143.92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26</v>
      </c>
      <c r="AG18">
        <v>0</v>
      </c>
      <c r="AH18">
        <v>2</v>
      </c>
      <c r="AI18">
        <v>61625959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ROW(Source!A29)</f>
        <v>29</v>
      </c>
      <c r="B19">
        <v>61625960</v>
      </c>
      <c r="C19">
        <v>61625949</v>
      </c>
      <c r="D19">
        <v>56610084</v>
      </c>
      <c r="E19">
        <v>1</v>
      </c>
      <c r="F19">
        <v>1</v>
      </c>
      <c r="G19">
        <v>1</v>
      </c>
      <c r="H19">
        <v>3</v>
      </c>
      <c r="I19" t="s">
        <v>283</v>
      </c>
      <c r="J19" t="s">
        <v>284</v>
      </c>
      <c r="K19" t="s">
        <v>285</v>
      </c>
      <c r="L19">
        <v>1346</v>
      </c>
      <c r="N19">
        <v>1009</v>
      </c>
      <c r="O19" t="s">
        <v>106</v>
      </c>
      <c r="P19" t="s">
        <v>106</v>
      </c>
      <c r="Q19">
        <v>1</v>
      </c>
      <c r="X19">
        <v>1.36</v>
      </c>
      <c r="Y19">
        <v>79.88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26</v>
      </c>
      <c r="AG19">
        <v>0</v>
      </c>
      <c r="AH19">
        <v>2</v>
      </c>
      <c r="AI19">
        <v>61625960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ROW(Source!A29)</f>
        <v>29</v>
      </c>
      <c r="B20">
        <v>61625961</v>
      </c>
      <c r="C20">
        <v>61625949</v>
      </c>
      <c r="D20">
        <v>56223463</v>
      </c>
      <c r="E20">
        <v>108</v>
      </c>
      <c r="F20">
        <v>1</v>
      </c>
      <c r="G20">
        <v>1</v>
      </c>
      <c r="H20">
        <v>3</v>
      </c>
      <c r="I20" t="s">
        <v>286</v>
      </c>
      <c r="J20" t="s">
        <v>3</v>
      </c>
      <c r="K20" t="s">
        <v>287</v>
      </c>
      <c r="L20">
        <v>3277935</v>
      </c>
      <c r="N20">
        <v>1013</v>
      </c>
      <c r="O20" t="s">
        <v>288</v>
      </c>
      <c r="P20" t="s">
        <v>288</v>
      </c>
      <c r="Q20">
        <v>1</v>
      </c>
      <c r="X20">
        <v>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26</v>
      </c>
      <c r="AG20">
        <v>0</v>
      </c>
      <c r="AH20">
        <v>2</v>
      </c>
      <c r="AI20">
        <v>61625961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ROW(Source!A65)</f>
        <v>65</v>
      </c>
      <c r="B21">
        <v>61625418</v>
      </c>
      <c r="C21">
        <v>61625410</v>
      </c>
      <c r="D21">
        <v>37071037</v>
      </c>
      <c r="E21">
        <v>108</v>
      </c>
      <c r="F21">
        <v>1</v>
      </c>
      <c r="G21">
        <v>1</v>
      </c>
      <c r="H21">
        <v>1</v>
      </c>
      <c r="I21" t="s">
        <v>262</v>
      </c>
      <c r="J21" t="s">
        <v>3</v>
      </c>
      <c r="K21" t="s">
        <v>263</v>
      </c>
      <c r="L21">
        <v>1191</v>
      </c>
      <c r="N21">
        <v>1013</v>
      </c>
      <c r="O21" t="s">
        <v>264</v>
      </c>
      <c r="P21" t="s">
        <v>264</v>
      </c>
      <c r="Q21">
        <v>1</v>
      </c>
      <c r="X21">
        <v>22.7</v>
      </c>
      <c r="Y21">
        <v>0</v>
      </c>
      <c r="Z21">
        <v>0</v>
      </c>
      <c r="AA21">
        <v>0</v>
      </c>
      <c r="AB21">
        <v>435.27</v>
      </c>
      <c r="AC21">
        <v>0</v>
      </c>
      <c r="AD21">
        <v>1</v>
      </c>
      <c r="AE21">
        <v>1</v>
      </c>
      <c r="AF21" t="s">
        <v>3</v>
      </c>
      <c r="AG21">
        <v>22.7</v>
      </c>
      <c r="AH21">
        <v>2</v>
      </c>
      <c r="AI21">
        <v>61625411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ROW(Source!A65)</f>
        <v>65</v>
      </c>
      <c r="B22">
        <v>61625419</v>
      </c>
      <c r="C22">
        <v>61625410</v>
      </c>
      <c r="D22">
        <v>37064876</v>
      </c>
      <c r="E22">
        <v>108</v>
      </c>
      <c r="F22">
        <v>1</v>
      </c>
      <c r="G22">
        <v>1</v>
      </c>
      <c r="H22">
        <v>1</v>
      </c>
      <c r="I22" t="s">
        <v>265</v>
      </c>
      <c r="J22" t="s">
        <v>3</v>
      </c>
      <c r="K22" t="s">
        <v>266</v>
      </c>
      <c r="L22">
        <v>1191</v>
      </c>
      <c r="N22">
        <v>1013</v>
      </c>
      <c r="O22" t="s">
        <v>264</v>
      </c>
      <c r="P22" t="s">
        <v>264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3</v>
      </c>
      <c r="AG22">
        <v>2</v>
      </c>
      <c r="AH22">
        <v>2</v>
      </c>
      <c r="AI22">
        <v>61625412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ROW(Source!A65)</f>
        <v>65</v>
      </c>
      <c r="B23">
        <v>61625420</v>
      </c>
      <c r="C23">
        <v>61625410</v>
      </c>
      <c r="D23">
        <v>56571417</v>
      </c>
      <c r="E23">
        <v>1</v>
      </c>
      <c r="F23">
        <v>1</v>
      </c>
      <c r="G23">
        <v>1</v>
      </c>
      <c r="H23">
        <v>2</v>
      </c>
      <c r="I23" t="s">
        <v>267</v>
      </c>
      <c r="J23" t="s">
        <v>268</v>
      </c>
      <c r="K23" t="s">
        <v>269</v>
      </c>
      <c r="L23">
        <v>1368</v>
      </c>
      <c r="N23">
        <v>1011</v>
      </c>
      <c r="O23" t="s">
        <v>270</v>
      </c>
      <c r="P23" t="s">
        <v>270</v>
      </c>
      <c r="Q23">
        <v>1</v>
      </c>
      <c r="X23">
        <v>1</v>
      </c>
      <c r="Y23">
        <v>0</v>
      </c>
      <c r="Z23">
        <v>1459.82</v>
      </c>
      <c r="AA23">
        <v>584.69000000000005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</v>
      </c>
      <c r="AH23">
        <v>2</v>
      </c>
      <c r="AI23">
        <v>61625413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ROW(Source!A65)</f>
        <v>65</v>
      </c>
      <c r="B24">
        <v>61625421</v>
      </c>
      <c r="C24">
        <v>61625410</v>
      </c>
      <c r="D24">
        <v>56572833</v>
      </c>
      <c r="E24">
        <v>1</v>
      </c>
      <c r="F24">
        <v>1</v>
      </c>
      <c r="G24">
        <v>1</v>
      </c>
      <c r="H24">
        <v>2</v>
      </c>
      <c r="I24" t="s">
        <v>272</v>
      </c>
      <c r="J24" t="s">
        <v>273</v>
      </c>
      <c r="K24" t="s">
        <v>274</v>
      </c>
      <c r="L24">
        <v>1368</v>
      </c>
      <c r="N24">
        <v>1011</v>
      </c>
      <c r="O24" t="s">
        <v>270</v>
      </c>
      <c r="P24" t="s">
        <v>270</v>
      </c>
      <c r="Q24">
        <v>1</v>
      </c>
      <c r="X24">
        <v>1</v>
      </c>
      <c r="Y24">
        <v>0</v>
      </c>
      <c r="Z24">
        <v>477.92</v>
      </c>
      <c r="AA24">
        <v>435.27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</v>
      </c>
      <c r="AH24">
        <v>2</v>
      </c>
      <c r="AI24">
        <v>61625414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ROW(Source!A65)</f>
        <v>65</v>
      </c>
      <c r="B25">
        <v>61625422</v>
      </c>
      <c r="C25">
        <v>61625410</v>
      </c>
      <c r="D25">
        <v>56580368</v>
      </c>
      <c r="E25">
        <v>1</v>
      </c>
      <c r="F25">
        <v>1</v>
      </c>
      <c r="G25">
        <v>1</v>
      </c>
      <c r="H25">
        <v>3</v>
      </c>
      <c r="I25" t="s">
        <v>276</v>
      </c>
      <c r="J25" t="s">
        <v>277</v>
      </c>
      <c r="K25" t="s">
        <v>278</v>
      </c>
      <c r="L25">
        <v>1346</v>
      </c>
      <c r="N25">
        <v>1009</v>
      </c>
      <c r="O25" t="s">
        <v>106</v>
      </c>
      <c r="P25" t="s">
        <v>106</v>
      </c>
      <c r="Q25">
        <v>1</v>
      </c>
      <c r="X25">
        <v>0.42</v>
      </c>
      <c r="Y25">
        <v>174.93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0.42</v>
      </c>
      <c r="AH25">
        <v>2</v>
      </c>
      <c r="AI25">
        <v>61625415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ROW(Source!A65)</f>
        <v>65</v>
      </c>
      <c r="B26">
        <v>61625423</v>
      </c>
      <c r="C26">
        <v>61625410</v>
      </c>
      <c r="D26">
        <v>56592838</v>
      </c>
      <c r="E26">
        <v>1</v>
      </c>
      <c r="F26">
        <v>1</v>
      </c>
      <c r="G26">
        <v>1</v>
      </c>
      <c r="H26">
        <v>3</v>
      </c>
      <c r="I26" t="s">
        <v>279</v>
      </c>
      <c r="J26" t="s">
        <v>280</v>
      </c>
      <c r="K26" t="s">
        <v>281</v>
      </c>
      <c r="L26">
        <v>1348</v>
      </c>
      <c r="N26">
        <v>1009</v>
      </c>
      <c r="O26" t="s">
        <v>282</v>
      </c>
      <c r="P26" t="s">
        <v>282</v>
      </c>
      <c r="Q26">
        <v>1000</v>
      </c>
      <c r="X26">
        <v>1E-3</v>
      </c>
      <c r="Y26">
        <v>70310.45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1E-3</v>
      </c>
      <c r="AH26">
        <v>2</v>
      </c>
      <c r="AI26">
        <v>61625416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ROW(Source!A65)</f>
        <v>65</v>
      </c>
      <c r="B27">
        <v>61625424</v>
      </c>
      <c r="C27">
        <v>61625410</v>
      </c>
      <c r="D27">
        <v>56610084</v>
      </c>
      <c r="E27">
        <v>1</v>
      </c>
      <c r="F27">
        <v>1</v>
      </c>
      <c r="G27">
        <v>1</v>
      </c>
      <c r="H27">
        <v>3</v>
      </c>
      <c r="I27" t="s">
        <v>283</v>
      </c>
      <c r="J27" t="s">
        <v>284</v>
      </c>
      <c r="K27" t="s">
        <v>285</v>
      </c>
      <c r="L27">
        <v>1346</v>
      </c>
      <c r="N27">
        <v>1009</v>
      </c>
      <c r="O27" t="s">
        <v>106</v>
      </c>
      <c r="P27" t="s">
        <v>106</v>
      </c>
      <c r="Q27">
        <v>1</v>
      </c>
      <c r="X27">
        <v>0.3</v>
      </c>
      <c r="Y27">
        <v>79.88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0.3</v>
      </c>
      <c r="AH27">
        <v>2</v>
      </c>
      <c r="AI27">
        <v>61625417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ROW(Source!A65)</f>
        <v>65</v>
      </c>
      <c r="B28">
        <v>61625425</v>
      </c>
      <c r="C28">
        <v>61625410</v>
      </c>
      <c r="D28">
        <v>56223463</v>
      </c>
      <c r="E28">
        <v>108</v>
      </c>
      <c r="F28">
        <v>1</v>
      </c>
      <c r="G28">
        <v>1</v>
      </c>
      <c r="H28">
        <v>3</v>
      </c>
      <c r="I28" t="s">
        <v>286</v>
      </c>
      <c r="J28" t="s">
        <v>3</v>
      </c>
      <c r="K28" t="s">
        <v>287</v>
      </c>
      <c r="L28">
        <v>3277935</v>
      </c>
      <c r="N28">
        <v>1013</v>
      </c>
      <c r="O28" t="s">
        <v>288</v>
      </c>
      <c r="P28" t="s">
        <v>288</v>
      </c>
      <c r="Q28">
        <v>1</v>
      </c>
      <c r="X28">
        <v>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3</v>
      </c>
      <c r="AG28">
        <v>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ROW(Source!A66)</f>
        <v>66</v>
      </c>
      <c r="B29">
        <v>61625986</v>
      </c>
      <c r="C29">
        <v>61625985</v>
      </c>
      <c r="D29">
        <v>60458000</v>
      </c>
      <c r="E29">
        <v>110</v>
      </c>
      <c r="F29">
        <v>1</v>
      </c>
      <c r="G29">
        <v>1</v>
      </c>
      <c r="H29">
        <v>1</v>
      </c>
      <c r="I29" t="s">
        <v>262</v>
      </c>
      <c r="J29" t="s">
        <v>3</v>
      </c>
      <c r="K29" t="s">
        <v>263</v>
      </c>
      <c r="L29">
        <v>1191</v>
      </c>
      <c r="N29">
        <v>1013</v>
      </c>
      <c r="O29" t="s">
        <v>264</v>
      </c>
      <c r="P29" t="s">
        <v>264</v>
      </c>
      <c r="Q29">
        <v>1</v>
      </c>
      <c r="X29">
        <v>50.5</v>
      </c>
      <c r="Y29">
        <v>0</v>
      </c>
      <c r="Z29">
        <v>0</v>
      </c>
      <c r="AA29">
        <v>0</v>
      </c>
      <c r="AB29">
        <v>435.27</v>
      </c>
      <c r="AC29">
        <v>0</v>
      </c>
      <c r="AD29">
        <v>1</v>
      </c>
      <c r="AE29">
        <v>1</v>
      </c>
      <c r="AF29" t="s">
        <v>3</v>
      </c>
      <c r="AG29">
        <v>50.5</v>
      </c>
      <c r="AH29">
        <v>2</v>
      </c>
      <c r="AI29">
        <v>61625986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ROW(Source!A66)</f>
        <v>66</v>
      </c>
      <c r="B30">
        <v>61625987</v>
      </c>
      <c r="C30">
        <v>61625985</v>
      </c>
      <c r="D30">
        <v>60458172</v>
      </c>
      <c r="E30">
        <v>110</v>
      </c>
      <c r="F30">
        <v>1</v>
      </c>
      <c r="G30">
        <v>1</v>
      </c>
      <c r="H30">
        <v>1</v>
      </c>
      <c r="I30" t="s">
        <v>265</v>
      </c>
      <c r="J30" t="s">
        <v>3</v>
      </c>
      <c r="K30" t="s">
        <v>266</v>
      </c>
      <c r="L30">
        <v>1191</v>
      </c>
      <c r="N30">
        <v>1013</v>
      </c>
      <c r="O30" t="s">
        <v>264</v>
      </c>
      <c r="P30" t="s">
        <v>264</v>
      </c>
      <c r="Q30">
        <v>1</v>
      </c>
      <c r="X30">
        <v>6.33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3</v>
      </c>
      <c r="AG30">
        <v>6.33</v>
      </c>
      <c r="AH30">
        <v>2</v>
      </c>
      <c r="AI30">
        <v>61625987</v>
      </c>
      <c r="AJ30">
        <v>29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ROW(Source!A66)</f>
        <v>66</v>
      </c>
      <c r="B31">
        <v>61625988</v>
      </c>
      <c r="C31">
        <v>61625985</v>
      </c>
      <c r="D31">
        <v>60465258</v>
      </c>
      <c r="E31">
        <v>1</v>
      </c>
      <c r="F31">
        <v>1</v>
      </c>
      <c r="G31">
        <v>1</v>
      </c>
      <c r="H31">
        <v>2</v>
      </c>
      <c r="I31" t="s">
        <v>267</v>
      </c>
      <c r="J31" t="s">
        <v>268</v>
      </c>
      <c r="K31" t="s">
        <v>269</v>
      </c>
      <c r="L31">
        <v>1368</v>
      </c>
      <c r="N31">
        <v>1011</v>
      </c>
      <c r="O31" t="s">
        <v>270</v>
      </c>
      <c r="P31" t="s">
        <v>270</v>
      </c>
      <c r="Q31">
        <v>1</v>
      </c>
      <c r="X31">
        <v>0.2</v>
      </c>
      <c r="Y31">
        <v>0</v>
      </c>
      <c r="Z31">
        <v>1459.82</v>
      </c>
      <c r="AA31">
        <v>584.69000000000005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0.2</v>
      </c>
      <c r="AH31">
        <v>2</v>
      </c>
      <c r="AI31">
        <v>61625988</v>
      </c>
      <c r="AJ31">
        <v>30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ROW(Source!A66)</f>
        <v>66</v>
      </c>
      <c r="B32">
        <v>61625989</v>
      </c>
      <c r="C32">
        <v>61625985</v>
      </c>
      <c r="D32">
        <v>60466143</v>
      </c>
      <c r="E32">
        <v>1</v>
      </c>
      <c r="F32">
        <v>1</v>
      </c>
      <c r="G32">
        <v>1</v>
      </c>
      <c r="H32">
        <v>2</v>
      </c>
      <c r="I32" t="s">
        <v>272</v>
      </c>
      <c r="J32" t="s">
        <v>273</v>
      </c>
      <c r="K32" t="s">
        <v>274</v>
      </c>
      <c r="L32">
        <v>1368</v>
      </c>
      <c r="N32">
        <v>1011</v>
      </c>
      <c r="O32" t="s">
        <v>270</v>
      </c>
      <c r="P32" t="s">
        <v>270</v>
      </c>
      <c r="Q32">
        <v>1</v>
      </c>
      <c r="X32">
        <v>0.2</v>
      </c>
      <c r="Y32">
        <v>0</v>
      </c>
      <c r="Z32">
        <v>477.92</v>
      </c>
      <c r="AA32">
        <v>435.27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</v>
      </c>
      <c r="AH32">
        <v>2</v>
      </c>
      <c r="AI32">
        <v>61625989</v>
      </c>
      <c r="AJ32">
        <v>31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ROW(Source!A66)</f>
        <v>66</v>
      </c>
      <c r="B33">
        <v>61625990</v>
      </c>
      <c r="C33">
        <v>61625985</v>
      </c>
      <c r="D33">
        <v>60466337</v>
      </c>
      <c r="E33">
        <v>1</v>
      </c>
      <c r="F33">
        <v>1</v>
      </c>
      <c r="G33">
        <v>1</v>
      </c>
      <c r="H33">
        <v>2</v>
      </c>
      <c r="I33" t="s">
        <v>289</v>
      </c>
      <c r="J33" t="s">
        <v>290</v>
      </c>
      <c r="K33" t="s">
        <v>291</v>
      </c>
      <c r="L33">
        <v>1368</v>
      </c>
      <c r="N33">
        <v>1011</v>
      </c>
      <c r="O33" t="s">
        <v>270</v>
      </c>
      <c r="P33" t="s">
        <v>270</v>
      </c>
      <c r="Q33">
        <v>1</v>
      </c>
      <c r="X33">
        <v>6.25</v>
      </c>
      <c r="Y33">
        <v>0</v>
      </c>
      <c r="Z33">
        <v>25.86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6.25</v>
      </c>
      <c r="AH33">
        <v>2</v>
      </c>
      <c r="AI33">
        <v>61625990</v>
      </c>
      <c r="AJ33">
        <v>32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ROW(Source!A66)</f>
        <v>66</v>
      </c>
      <c r="B34">
        <v>61625991</v>
      </c>
      <c r="C34">
        <v>61625985</v>
      </c>
      <c r="D34">
        <v>60466897</v>
      </c>
      <c r="E34">
        <v>1</v>
      </c>
      <c r="F34">
        <v>1</v>
      </c>
      <c r="G34">
        <v>1</v>
      </c>
      <c r="H34">
        <v>2</v>
      </c>
      <c r="I34" t="s">
        <v>292</v>
      </c>
      <c r="J34" t="s">
        <v>293</v>
      </c>
      <c r="K34" t="s">
        <v>294</v>
      </c>
      <c r="L34">
        <v>1368</v>
      </c>
      <c r="N34">
        <v>1011</v>
      </c>
      <c r="O34" t="s">
        <v>270</v>
      </c>
      <c r="P34" t="s">
        <v>270</v>
      </c>
      <c r="Q34">
        <v>1</v>
      </c>
      <c r="X34">
        <v>5.93</v>
      </c>
      <c r="Y34">
        <v>0</v>
      </c>
      <c r="Z34">
        <v>26.76</v>
      </c>
      <c r="AA34">
        <v>435.27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5.93</v>
      </c>
      <c r="AH34">
        <v>2</v>
      </c>
      <c r="AI34">
        <v>61625991</v>
      </c>
      <c r="AJ34">
        <v>33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ROW(Source!A66)</f>
        <v>66</v>
      </c>
      <c r="B35">
        <v>61625992</v>
      </c>
      <c r="C35">
        <v>61625985</v>
      </c>
      <c r="D35">
        <v>60530020</v>
      </c>
      <c r="E35">
        <v>1</v>
      </c>
      <c r="F35">
        <v>1</v>
      </c>
      <c r="G35">
        <v>1</v>
      </c>
      <c r="H35">
        <v>3</v>
      </c>
      <c r="I35" t="s">
        <v>295</v>
      </c>
      <c r="J35" t="s">
        <v>296</v>
      </c>
      <c r="K35" t="s">
        <v>297</v>
      </c>
      <c r="L35">
        <v>1339</v>
      </c>
      <c r="N35">
        <v>1007</v>
      </c>
      <c r="O35" t="s">
        <v>298</v>
      </c>
      <c r="P35" t="s">
        <v>298</v>
      </c>
      <c r="Q35">
        <v>1</v>
      </c>
      <c r="X35">
        <v>0.44</v>
      </c>
      <c r="Y35">
        <v>253.96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0.44</v>
      </c>
      <c r="AH35">
        <v>2</v>
      </c>
      <c r="AI35">
        <v>61625992</v>
      </c>
      <c r="AJ35">
        <v>34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ROW(Source!A66)</f>
        <v>66</v>
      </c>
      <c r="B36">
        <v>61625993</v>
      </c>
      <c r="C36">
        <v>61625985</v>
      </c>
      <c r="D36">
        <v>60532384</v>
      </c>
      <c r="E36">
        <v>1</v>
      </c>
      <c r="F36">
        <v>1</v>
      </c>
      <c r="G36">
        <v>1</v>
      </c>
      <c r="H36">
        <v>3</v>
      </c>
      <c r="I36" t="s">
        <v>299</v>
      </c>
      <c r="J36" t="s">
        <v>300</v>
      </c>
      <c r="K36" t="s">
        <v>301</v>
      </c>
      <c r="L36">
        <v>1346</v>
      </c>
      <c r="N36">
        <v>1009</v>
      </c>
      <c r="O36" t="s">
        <v>106</v>
      </c>
      <c r="P36" t="s">
        <v>106</v>
      </c>
      <c r="Q36">
        <v>1</v>
      </c>
      <c r="X36">
        <v>0.03</v>
      </c>
      <c r="Y36">
        <v>155.63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0.03</v>
      </c>
      <c r="AH36">
        <v>2</v>
      </c>
      <c r="AI36">
        <v>61625993</v>
      </c>
      <c r="AJ36">
        <v>35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ROW(Source!A66)</f>
        <v>66</v>
      </c>
      <c r="B37">
        <v>61625994</v>
      </c>
      <c r="C37">
        <v>61625985</v>
      </c>
      <c r="D37">
        <v>60540982</v>
      </c>
      <c r="E37">
        <v>1</v>
      </c>
      <c r="F37">
        <v>1</v>
      </c>
      <c r="G37">
        <v>1</v>
      </c>
      <c r="H37">
        <v>3</v>
      </c>
      <c r="I37" t="s">
        <v>302</v>
      </c>
      <c r="J37" t="s">
        <v>308</v>
      </c>
      <c r="K37" t="s">
        <v>304</v>
      </c>
      <c r="L37">
        <v>1348</v>
      </c>
      <c r="N37">
        <v>1009</v>
      </c>
      <c r="O37" t="s">
        <v>282</v>
      </c>
      <c r="P37" t="s">
        <v>282</v>
      </c>
      <c r="Q37">
        <v>1000</v>
      </c>
      <c r="X37">
        <v>1.2999999999999999E-4</v>
      </c>
      <c r="Y37">
        <v>530491.82999999996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1.2999999999999999E-4</v>
      </c>
      <c r="AH37">
        <v>2</v>
      </c>
      <c r="AI37">
        <v>61625994</v>
      </c>
      <c r="AJ37">
        <v>36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ROW(Source!A66)</f>
        <v>66</v>
      </c>
      <c r="B38">
        <v>61625995</v>
      </c>
      <c r="C38">
        <v>61625985</v>
      </c>
      <c r="D38">
        <v>60541225</v>
      </c>
      <c r="E38">
        <v>1</v>
      </c>
      <c r="F38">
        <v>1</v>
      </c>
      <c r="G38">
        <v>1</v>
      </c>
      <c r="H38">
        <v>3</v>
      </c>
      <c r="I38" t="s">
        <v>305</v>
      </c>
      <c r="J38" t="s">
        <v>306</v>
      </c>
      <c r="K38" t="s">
        <v>307</v>
      </c>
      <c r="L38">
        <v>1348</v>
      </c>
      <c r="N38">
        <v>1009</v>
      </c>
      <c r="O38" t="s">
        <v>282</v>
      </c>
      <c r="P38" t="s">
        <v>282</v>
      </c>
      <c r="Q38">
        <v>1000</v>
      </c>
      <c r="X38">
        <v>1.8000000000000001E-4</v>
      </c>
      <c r="Y38">
        <v>945143.92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1.8000000000000001E-4</v>
      </c>
      <c r="AH38">
        <v>2</v>
      </c>
      <c r="AI38">
        <v>61625995</v>
      </c>
      <c r="AJ38">
        <v>37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ROW(Source!A66)</f>
        <v>66</v>
      </c>
      <c r="B39">
        <v>61625996</v>
      </c>
      <c r="C39">
        <v>61625985</v>
      </c>
      <c r="D39">
        <v>60549173</v>
      </c>
      <c r="E39">
        <v>1</v>
      </c>
      <c r="F39">
        <v>1</v>
      </c>
      <c r="G39">
        <v>1</v>
      </c>
      <c r="H39">
        <v>3</v>
      </c>
      <c r="I39" t="s">
        <v>283</v>
      </c>
      <c r="J39" t="s">
        <v>284</v>
      </c>
      <c r="K39" t="s">
        <v>285</v>
      </c>
      <c r="L39">
        <v>1346</v>
      </c>
      <c r="N39">
        <v>1009</v>
      </c>
      <c r="O39" t="s">
        <v>106</v>
      </c>
      <c r="P39" t="s">
        <v>106</v>
      </c>
      <c r="Q39">
        <v>1</v>
      </c>
      <c r="X39">
        <v>1.36</v>
      </c>
      <c r="Y39">
        <v>79.88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1.36</v>
      </c>
      <c r="AH39">
        <v>2</v>
      </c>
      <c r="AI39">
        <v>61625996</v>
      </c>
      <c r="AJ39">
        <v>38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ROW(Source!A66)</f>
        <v>66</v>
      </c>
      <c r="B40">
        <v>61625997</v>
      </c>
      <c r="C40">
        <v>61625985</v>
      </c>
      <c r="D40">
        <v>60463688</v>
      </c>
      <c r="E40">
        <v>110</v>
      </c>
      <c r="F40">
        <v>1</v>
      </c>
      <c r="G40">
        <v>1</v>
      </c>
      <c r="H40">
        <v>3</v>
      </c>
      <c r="I40" t="s">
        <v>286</v>
      </c>
      <c r="J40" t="s">
        <v>3</v>
      </c>
      <c r="K40" t="s">
        <v>287</v>
      </c>
      <c r="L40">
        <v>3277935</v>
      </c>
      <c r="N40">
        <v>1013</v>
      </c>
      <c r="O40" t="s">
        <v>288</v>
      </c>
      <c r="P40" t="s">
        <v>288</v>
      </c>
      <c r="Q40">
        <v>1</v>
      </c>
      <c r="X40">
        <v>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3</v>
      </c>
      <c r="AG40">
        <v>2</v>
      </c>
      <c r="AH40">
        <v>2</v>
      </c>
      <c r="AI40">
        <v>61625997</v>
      </c>
      <c r="AJ40">
        <v>39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ROW(Source!A139)</f>
        <v>139</v>
      </c>
      <c r="B41">
        <v>61625851</v>
      </c>
      <c r="C41">
        <v>61625848</v>
      </c>
      <c r="D41">
        <v>56217421</v>
      </c>
      <c r="E41">
        <v>108</v>
      </c>
      <c r="F41">
        <v>1</v>
      </c>
      <c r="G41">
        <v>1</v>
      </c>
      <c r="H41">
        <v>1</v>
      </c>
      <c r="I41" t="s">
        <v>309</v>
      </c>
      <c r="J41" t="s">
        <v>3</v>
      </c>
      <c r="K41" t="s">
        <v>310</v>
      </c>
      <c r="L41">
        <v>1369</v>
      </c>
      <c r="N41">
        <v>1013</v>
      </c>
      <c r="O41" t="s">
        <v>311</v>
      </c>
      <c r="P41" t="s">
        <v>311</v>
      </c>
      <c r="Q41">
        <v>1</v>
      </c>
      <c r="X41">
        <v>0.81</v>
      </c>
      <c r="Y41">
        <v>0</v>
      </c>
      <c r="Z41">
        <v>0</v>
      </c>
      <c r="AA41">
        <v>0</v>
      </c>
      <c r="AB41">
        <v>584.69000000000005</v>
      </c>
      <c r="AC41">
        <v>0</v>
      </c>
      <c r="AD41">
        <v>1</v>
      </c>
      <c r="AE41">
        <v>1</v>
      </c>
      <c r="AF41" t="s">
        <v>3</v>
      </c>
      <c r="AG41">
        <v>0.81</v>
      </c>
      <c r="AH41">
        <v>2</v>
      </c>
      <c r="AI41">
        <v>61625849</v>
      </c>
      <c r="AJ41">
        <v>40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ROW(Source!A139)</f>
        <v>139</v>
      </c>
      <c r="B42">
        <v>61625852</v>
      </c>
      <c r="C42">
        <v>61625848</v>
      </c>
      <c r="D42">
        <v>56217452</v>
      </c>
      <c r="E42">
        <v>108</v>
      </c>
      <c r="F42">
        <v>1</v>
      </c>
      <c r="G42">
        <v>1</v>
      </c>
      <c r="H42">
        <v>1</v>
      </c>
      <c r="I42" t="s">
        <v>312</v>
      </c>
      <c r="J42" t="s">
        <v>3</v>
      </c>
      <c r="K42" t="s">
        <v>313</v>
      </c>
      <c r="L42">
        <v>1369</v>
      </c>
      <c r="N42">
        <v>1013</v>
      </c>
      <c r="O42" t="s">
        <v>311</v>
      </c>
      <c r="P42" t="s">
        <v>311</v>
      </c>
      <c r="Q42">
        <v>1</v>
      </c>
      <c r="X42">
        <v>0.81</v>
      </c>
      <c r="Y42">
        <v>0</v>
      </c>
      <c r="Z42">
        <v>0</v>
      </c>
      <c r="AA42">
        <v>0</v>
      </c>
      <c r="AB42">
        <v>571.70000000000005</v>
      </c>
      <c r="AC42">
        <v>0</v>
      </c>
      <c r="AD42">
        <v>1</v>
      </c>
      <c r="AE42">
        <v>1</v>
      </c>
      <c r="AF42" t="s">
        <v>3</v>
      </c>
      <c r="AG42">
        <v>0.81</v>
      </c>
      <c r="AH42">
        <v>2</v>
      </c>
      <c r="AI42">
        <v>61625850</v>
      </c>
      <c r="AJ42">
        <v>41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ROW(Source!A140)</f>
        <v>140</v>
      </c>
      <c r="B43">
        <v>61625857</v>
      </c>
      <c r="C43">
        <v>61625853</v>
      </c>
      <c r="D43">
        <v>56217415</v>
      </c>
      <c r="E43">
        <v>108</v>
      </c>
      <c r="F43">
        <v>1</v>
      </c>
      <c r="G43">
        <v>1</v>
      </c>
      <c r="H43">
        <v>1</v>
      </c>
      <c r="I43" t="s">
        <v>314</v>
      </c>
      <c r="J43" t="s">
        <v>3</v>
      </c>
      <c r="K43" t="s">
        <v>315</v>
      </c>
      <c r="L43">
        <v>1369</v>
      </c>
      <c r="N43">
        <v>1013</v>
      </c>
      <c r="O43" t="s">
        <v>311</v>
      </c>
      <c r="P43" t="s">
        <v>311</v>
      </c>
      <c r="Q43">
        <v>1</v>
      </c>
      <c r="X43">
        <v>4.32</v>
      </c>
      <c r="Y43">
        <v>0</v>
      </c>
      <c r="Z43">
        <v>0</v>
      </c>
      <c r="AA43">
        <v>0</v>
      </c>
      <c r="AB43">
        <v>435.27</v>
      </c>
      <c r="AC43">
        <v>0</v>
      </c>
      <c r="AD43">
        <v>1</v>
      </c>
      <c r="AE43">
        <v>1</v>
      </c>
      <c r="AF43" t="s">
        <v>3</v>
      </c>
      <c r="AG43">
        <v>4.32</v>
      </c>
      <c r="AH43">
        <v>2</v>
      </c>
      <c r="AI43">
        <v>61625854</v>
      </c>
      <c r="AJ43">
        <v>42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ROW(Source!A140)</f>
        <v>140</v>
      </c>
      <c r="B44">
        <v>61625858</v>
      </c>
      <c r="C44">
        <v>61625853</v>
      </c>
      <c r="D44">
        <v>56217437</v>
      </c>
      <c r="E44">
        <v>108</v>
      </c>
      <c r="F44">
        <v>1</v>
      </c>
      <c r="G44">
        <v>1</v>
      </c>
      <c r="H44">
        <v>1</v>
      </c>
      <c r="I44" t="s">
        <v>316</v>
      </c>
      <c r="J44" t="s">
        <v>3</v>
      </c>
      <c r="K44" t="s">
        <v>317</v>
      </c>
      <c r="L44">
        <v>1369</v>
      </c>
      <c r="N44">
        <v>1013</v>
      </c>
      <c r="O44" t="s">
        <v>311</v>
      </c>
      <c r="P44" t="s">
        <v>311</v>
      </c>
      <c r="Q44">
        <v>1</v>
      </c>
      <c r="X44">
        <v>4.32</v>
      </c>
      <c r="Y44">
        <v>0</v>
      </c>
      <c r="Z44">
        <v>0</v>
      </c>
      <c r="AA44">
        <v>0</v>
      </c>
      <c r="AB44">
        <v>415.78</v>
      </c>
      <c r="AC44">
        <v>0</v>
      </c>
      <c r="AD44">
        <v>1</v>
      </c>
      <c r="AE44">
        <v>1</v>
      </c>
      <c r="AF44" t="s">
        <v>3</v>
      </c>
      <c r="AG44">
        <v>4.32</v>
      </c>
      <c r="AH44">
        <v>2</v>
      </c>
      <c r="AI44">
        <v>61625855</v>
      </c>
      <c r="AJ44">
        <v>43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ROW(Source!A140)</f>
        <v>140</v>
      </c>
      <c r="B45">
        <v>61625859</v>
      </c>
      <c r="C45">
        <v>61625853</v>
      </c>
      <c r="D45">
        <v>56217448</v>
      </c>
      <c r="E45">
        <v>108</v>
      </c>
      <c r="F45">
        <v>1</v>
      </c>
      <c r="G45">
        <v>1</v>
      </c>
      <c r="H45">
        <v>1</v>
      </c>
      <c r="I45" t="s">
        <v>318</v>
      </c>
      <c r="J45" t="s">
        <v>3</v>
      </c>
      <c r="K45" t="s">
        <v>319</v>
      </c>
      <c r="L45">
        <v>1369</v>
      </c>
      <c r="N45">
        <v>1013</v>
      </c>
      <c r="O45" t="s">
        <v>311</v>
      </c>
      <c r="P45" t="s">
        <v>311</v>
      </c>
      <c r="Q45">
        <v>1</v>
      </c>
      <c r="X45">
        <v>12.96</v>
      </c>
      <c r="Y45">
        <v>0</v>
      </c>
      <c r="Z45">
        <v>0</v>
      </c>
      <c r="AA45">
        <v>0</v>
      </c>
      <c r="AB45">
        <v>636.66999999999996</v>
      </c>
      <c r="AC45">
        <v>0</v>
      </c>
      <c r="AD45">
        <v>1</v>
      </c>
      <c r="AE45">
        <v>1</v>
      </c>
      <c r="AF45" t="s">
        <v>3</v>
      </c>
      <c r="AG45">
        <v>12.96</v>
      </c>
      <c r="AH45">
        <v>2</v>
      </c>
      <c r="AI45">
        <v>61625856</v>
      </c>
      <c r="AJ45">
        <v>44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ROW(Source!A141)</f>
        <v>141</v>
      </c>
      <c r="B46">
        <v>61625864</v>
      </c>
      <c r="C46">
        <v>61625860</v>
      </c>
      <c r="D46">
        <v>56217415</v>
      </c>
      <c r="E46">
        <v>108</v>
      </c>
      <c r="F46">
        <v>1</v>
      </c>
      <c r="G46">
        <v>1</v>
      </c>
      <c r="H46">
        <v>1</v>
      </c>
      <c r="I46" t="s">
        <v>314</v>
      </c>
      <c r="J46" t="s">
        <v>3</v>
      </c>
      <c r="K46" t="s">
        <v>315</v>
      </c>
      <c r="L46">
        <v>1369</v>
      </c>
      <c r="N46">
        <v>1013</v>
      </c>
      <c r="O46" t="s">
        <v>311</v>
      </c>
      <c r="P46" t="s">
        <v>311</v>
      </c>
      <c r="Q46">
        <v>1</v>
      </c>
      <c r="X46">
        <v>1.08</v>
      </c>
      <c r="Y46">
        <v>0</v>
      </c>
      <c r="Z46">
        <v>0</v>
      </c>
      <c r="AA46">
        <v>0</v>
      </c>
      <c r="AB46">
        <v>435.27</v>
      </c>
      <c r="AC46">
        <v>0</v>
      </c>
      <c r="AD46">
        <v>1</v>
      </c>
      <c r="AE46">
        <v>1</v>
      </c>
      <c r="AF46" t="s">
        <v>3</v>
      </c>
      <c r="AG46">
        <v>1.08</v>
      </c>
      <c r="AH46">
        <v>2</v>
      </c>
      <c r="AI46">
        <v>61625861</v>
      </c>
      <c r="AJ46">
        <v>45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ROW(Source!A141)</f>
        <v>141</v>
      </c>
      <c r="B47">
        <v>61625865</v>
      </c>
      <c r="C47">
        <v>61625860</v>
      </c>
      <c r="D47">
        <v>56217437</v>
      </c>
      <c r="E47">
        <v>108</v>
      </c>
      <c r="F47">
        <v>1</v>
      </c>
      <c r="G47">
        <v>1</v>
      </c>
      <c r="H47">
        <v>1</v>
      </c>
      <c r="I47" t="s">
        <v>316</v>
      </c>
      <c r="J47" t="s">
        <v>3</v>
      </c>
      <c r="K47" t="s">
        <v>317</v>
      </c>
      <c r="L47">
        <v>1369</v>
      </c>
      <c r="N47">
        <v>1013</v>
      </c>
      <c r="O47" t="s">
        <v>311</v>
      </c>
      <c r="P47" t="s">
        <v>311</v>
      </c>
      <c r="Q47">
        <v>1</v>
      </c>
      <c r="X47">
        <v>1.08</v>
      </c>
      <c r="Y47">
        <v>0</v>
      </c>
      <c r="Z47">
        <v>0</v>
      </c>
      <c r="AA47">
        <v>0</v>
      </c>
      <c r="AB47">
        <v>415.78</v>
      </c>
      <c r="AC47">
        <v>0</v>
      </c>
      <c r="AD47">
        <v>1</v>
      </c>
      <c r="AE47">
        <v>1</v>
      </c>
      <c r="AF47" t="s">
        <v>3</v>
      </c>
      <c r="AG47">
        <v>1.08</v>
      </c>
      <c r="AH47">
        <v>2</v>
      </c>
      <c r="AI47">
        <v>61625862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ROW(Source!A141)</f>
        <v>141</v>
      </c>
      <c r="B48">
        <v>61625866</v>
      </c>
      <c r="C48">
        <v>61625860</v>
      </c>
      <c r="D48">
        <v>56217448</v>
      </c>
      <c r="E48">
        <v>108</v>
      </c>
      <c r="F48">
        <v>1</v>
      </c>
      <c r="G48">
        <v>1</v>
      </c>
      <c r="H48">
        <v>1</v>
      </c>
      <c r="I48" t="s">
        <v>318</v>
      </c>
      <c r="J48" t="s">
        <v>3</v>
      </c>
      <c r="K48" t="s">
        <v>319</v>
      </c>
      <c r="L48">
        <v>1369</v>
      </c>
      <c r="N48">
        <v>1013</v>
      </c>
      <c r="O48" t="s">
        <v>311</v>
      </c>
      <c r="P48" t="s">
        <v>311</v>
      </c>
      <c r="Q48">
        <v>1</v>
      </c>
      <c r="X48">
        <v>3.24</v>
      </c>
      <c r="Y48">
        <v>0</v>
      </c>
      <c r="Z48">
        <v>0</v>
      </c>
      <c r="AA48">
        <v>0</v>
      </c>
      <c r="AB48">
        <v>636.66999999999996</v>
      </c>
      <c r="AC48">
        <v>0</v>
      </c>
      <c r="AD48">
        <v>1</v>
      </c>
      <c r="AE48">
        <v>1</v>
      </c>
      <c r="AF48" t="s">
        <v>3</v>
      </c>
      <c r="AG48">
        <v>3.24</v>
      </c>
      <c r="AH48">
        <v>2</v>
      </c>
      <c r="AI48">
        <v>61625863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ROW(Source!A142)</f>
        <v>142</v>
      </c>
      <c r="B49">
        <v>61625900</v>
      </c>
      <c r="C49">
        <v>61625897</v>
      </c>
      <c r="D49">
        <v>56217415</v>
      </c>
      <c r="E49">
        <v>108</v>
      </c>
      <c r="F49">
        <v>1</v>
      </c>
      <c r="G49">
        <v>1</v>
      </c>
      <c r="H49">
        <v>1</v>
      </c>
      <c r="I49" t="s">
        <v>314</v>
      </c>
      <c r="J49" t="s">
        <v>3</v>
      </c>
      <c r="K49" t="s">
        <v>315</v>
      </c>
      <c r="L49">
        <v>1369</v>
      </c>
      <c r="N49">
        <v>1013</v>
      </c>
      <c r="O49" t="s">
        <v>311</v>
      </c>
      <c r="P49" t="s">
        <v>311</v>
      </c>
      <c r="Q49">
        <v>1</v>
      </c>
      <c r="X49">
        <v>2.92</v>
      </c>
      <c r="Y49">
        <v>0</v>
      </c>
      <c r="Z49">
        <v>0</v>
      </c>
      <c r="AA49">
        <v>0</v>
      </c>
      <c r="AB49">
        <v>435.27</v>
      </c>
      <c r="AC49">
        <v>0</v>
      </c>
      <c r="AD49">
        <v>1</v>
      </c>
      <c r="AE49">
        <v>1</v>
      </c>
      <c r="AF49" t="s">
        <v>3</v>
      </c>
      <c r="AG49">
        <v>2.92</v>
      </c>
      <c r="AH49">
        <v>2</v>
      </c>
      <c r="AI49">
        <v>61625898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ROW(Source!A142)</f>
        <v>142</v>
      </c>
      <c r="B50">
        <v>61625901</v>
      </c>
      <c r="C50">
        <v>61625897</v>
      </c>
      <c r="D50">
        <v>56217452</v>
      </c>
      <c r="E50">
        <v>108</v>
      </c>
      <c r="F50">
        <v>1</v>
      </c>
      <c r="G50">
        <v>1</v>
      </c>
      <c r="H50">
        <v>1</v>
      </c>
      <c r="I50" t="s">
        <v>312</v>
      </c>
      <c r="J50" t="s">
        <v>3</v>
      </c>
      <c r="K50" t="s">
        <v>313</v>
      </c>
      <c r="L50">
        <v>1369</v>
      </c>
      <c r="N50">
        <v>1013</v>
      </c>
      <c r="O50" t="s">
        <v>311</v>
      </c>
      <c r="P50" t="s">
        <v>311</v>
      </c>
      <c r="Q50">
        <v>1</v>
      </c>
      <c r="X50">
        <v>4.37</v>
      </c>
      <c r="Y50">
        <v>0</v>
      </c>
      <c r="Z50">
        <v>0</v>
      </c>
      <c r="AA50">
        <v>0</v>
      </c>
      <c r="AB50">
        <v>571.70000000000005</v>
      </c>
      <c r="AC50">
        <v>0</v>
      </c>
      <c r="AD50">
        <v>1</v>
      </c>
      <c r="AE50">
        <v>1</v>
      </c>
      <c r="AF50" t="s">
        <v>3</v>
      </c>
      <c r="AG50">
        <v>4.37</v>
      </c>
      <c r="AH50">
        <v>2</v>
      </c>
      <c r="AI50">
        <v>61625899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ROW(Source!A143)</f>
        <v>143</v>
      </c>
      <c r="B51">
        <v>61625905</v>
      </c>
      <c r="C51">
        <v>61625902</v>
      </c>
      <c r="D51">
        <v>56217437</v>
      </c>
      <c r="E51">
        <v>108</v>
      </c>
      <c r="F51">
        <v>1</v>
      </c>
      <c r="G51">
        <v>1</v>
      </c>
      <c r="H51">
        <v>1</v>
      </c>
      <c r="I51" t="s">
        <v>316</v>
      </c>
      <c r="J51" t="s">
        <v>3</v>
      </c>
      <c r="K51" t="s">
        <v>317</v>
      </c>
      <c r="L51">
        <v>1369</v>
      </c>
      <c r="N51">
        <v>1013</v>
      </c>
      <c r="O51" t="s">
        <v>311</v>
      </c>
      <c r="P51" t="s">
        <v>311</v>
      </c>
      <c r="Q51">
        <v>1</v>
      </c>
      <c r="X51">
        <v>4.0999999999999996</v>
      </c>
      <c r="Y51">
        <v>0</v>
      </c>
      <c r="Z51">
        <v>0</v>
      </c>
      <c r="AA51">
        <v>0</v>
      </c>
      <c r="AB51">
        <v>415.78</v>
      </c>
      <c r="AC51">
        <v>0</v>
      </c>
      <c r="AD51">
        <v>1</v>
      </c>
      <c r="AE51">
        <v>1</v>
      </c>
      <c r="AF51" t="s">
        <v>3</v>
      </c>
      <c r="AG51">
        <v>4.0999999999999996</v>
      </c>
      <c r="AH51">
        <v>2</v>
      </c>
      <c r="AI51">
        <v>61625903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ROW(Source!A143)</f>
        <v>143</v>
      </c>
      <c r="B52">
        <v>61625906</v>
      </c>
      <c r="C52">
        <v>61625902</v>
      </c>
      <c r="D52">
        <v>56217448</v>
      </c>
      <c r="E52">
        <v>108</v>
      </c>
      <c r="F52">
        <v>1</v>
      </c>
      <c r="G52">
        <v>1</v>
      </c>
      <c r="H52">
        <v>1</v>
      </c>
      <c r="I52" t="s">
        <v>318</v>
      </c>
      <c r="J52" t="s">
        <v>3</v>
      </c>
      <c r="K52" t="s">
        <v>319</v>
      </c>
      <c r="L52">
        <v>1369</v>
      </c>
      <c r="N52">
        <v>1013</v>
      </c>
      <c r="O52" t="s">
        <v>311</v>
      </c>
      <c r="P52" t="s">
        <v>311</v>
      </c>
      <c r="Q52">
        <v>1</v>
      </c>
      <c r="X52">
        <v>9.58</v>
      </c>
      <c r="Y52">
        <v>0</v>
      </c>
      <c r="Z52">
        <v>0</v>
      </c>
      <c r="AA52">
        <v>0</v>
      </c>
      <c r="AB52">
        <v>636.66999999999996</v>
      </c>
      <c r="AC52">
        <v>0</v>
      </c>
      <c r="AD52">
        <v>1</v>
      </c>
      <c r="AE52">
        <v>1</v>
      </c>
      <c r="AF52" t="s">
        <v>3</v>
      </c>
      <c r="AG52">
        <v>9.58</v>
      </c>
      <c r="AH52">
        <v>2</v>
      </c>
      <c r="AI52">
        <v>61625904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ROW(Source!A144)</f>
        <v>144</v>
      </c>
      <c r="B53">
        <v>61625909</v>
      </c>
      <c r="C53">
        <v>61625907</v>
      </c>
      <c r="D53">
        <v>56217452</v>
      </c>
      <c r="E53">
        <v>108</v>
      </c>
      <c r="F53">
        <v>1</v>
      </c>
      <c r="G53">
        <v>1</v>
      </c>
      <c r="H53">
        <v>1</v>
      </c>
      <c r="I53" t="s">
        <v>312</v>
      </c>
      <c r="J53" t="s">
        <v>3</v>
      </c>
      <c r="K53" t="s">
        <v>313</v>
      </c>
      <c r="L53">
        <v>1369</v>
      </c>
      <c r="N53">
        <v>1013</v>
      </c>
      <c r="O53" t="s">
        <v>311</v>
      </c>
      <c r="P53" t="s">
        <v>311</v>
      </c>
      <c r="Q53">
        <v>1</v>
      </c>
      <c r="X53">
        <v>4.32</v>
      </c>
      <c r="Y53">
        <v>0</v>
      </c>
      <c r="Z53">
        <v>0</v>
      </c>
      <c r="AA53">
        <v>0</v>
      </c>
      <c r="AB53">
        <v>571.70000000000005</v>
      </c>
      <c r="AC53">
        <v>0</v>
      </c>
      <c r="AD53">
        <v>1</v>
      </c>
      <c r="AE53">
        <v>1</v>
      </c>
      <c r="AF53" t="s">
        <v>3</v>
      </c>
      <c r="AG53">
        <v>4.32</v>
      </c>
      <c r="AH53">
        <v>2</v>
      </c>
      <c r="AI53">
        <v>61625908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ROW(Source!A145)</f>
        <v>145</v>
      </c>
      <c r="B54">
        <v>61625912</v>
      </c>
      <c r="C54">
        <v>61625910</v>
      </c>
      <c r="D54">
        <v>56217452</v>
      </c>
      <c r="E54">
        <v>108</v>
      </c>
      <c r="F54">
        <v>1</v>
      </c>
      <c r="G54">
        <v>1</v>
      </c>
      <c r="H54">
        <v>1</v>
      </c>
      <c r="I54" t="s">
        <v>312</v>
      </c>
      <c r="J54" t="s">
        <v>3</v>
      </c>
      <c r="K54" t="s">
        <v>313</v>
      </c>
      <c r="L54">
        <v>1369</v>
      </c>
      <c r="N54">
        <v>1013</v>
      </c>
      <c r="O54" t="s">
        <v>311</v>
      </c>
      <c r="P54" t="s">
        <v>311</v>
      </c>
      <c r="Q54">
        <v>1</v>
      </c>
      <c r="X54">
        <v>6.48</v>
      </c>
      <c r="Y54">
        <v>0</v>
      </c>
      <c r="Z54">
        <v>0</v>
      </c>
      <c r="AA54">
        <v>0</v>
      </c>
      <c r="AB54">
        <v>571.70000000000005</v>
      </c>
      <c r="AC54">
        <v>0</v>
      </c>
      <c r="AD54">
        <v>1</v>
      </c>
      <c r="AE54">
        <v>1</v>
      </c>
      <c r="AF54" t="s">
        <v>3</v>
      </c>
      <c r="AG54">
        <v>6.48</v>
      </c>
      <c r="AH54">
        <v>2</v>
      </c>
      <c r="AI54">
        <v>61625911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ROW(Source!A146)</f>
        <v>146</v>
      </c>
      <c r="B55">
        <v>61625915</v>
      </c>
      <c r="C55">
        <v>61625913</v>
      </c>
      <c r="D55">
        <v>56217452</v>
      </c>
      <c r="E55">
        <v>108</v>
      </c>
      <c r="F55">
        <v>1</v>
      </c>
      <c r="G55">
        <v>1</v>
      </c>
      <c r="H55">
        <v>1</v>
      </c>
      <c r="I55" t="s">
        <v>312</v>
      </c>
      <c r="J55" t="s">
        <v>3</v>
      </c>
      <c r="K55" t="s">
        <v>313</v>
      </c>
      <c r="L55">
        <v>1369</v>
      </c>
      <c r="N55">
        <v>1013</v>
      </c>
      <c r="O55" t="s">
        <v>311</v>
      </c>
      <c r="P55" t="s">
        <v>311</v>
      </c>
      <c r="Q55">
        <v>1</v>
      </c>
      <c r="X55">
        <v>6.48</v>
      </c>
      <c r="Y55">
        <v>0</v>
      </c>
      <c r="Z55">
        <v>0</v>
      </c>
      <c r="AA55">
        <v>0</v>
      </c>
      <c r="AB55">
        <v>571.70000000000005</v>
      </c>
      <c r="AC55">
        <v>0</v>
      </c>
      <c r="AD55">
        <v>1</v>
      </c>
      <c r="AE55">
        <v>1</v>
      </c>
      <c r="AF55" t="s">
        <v>3</v>
      </c>
      <c r="AG55">
        <v>6.48</v>
      </c>
      <c r="AH55">
        <v>2</v>
      </c>
      <c r="AI55">
        <v>61625914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ROW(Source!A147)</f>
        <v>147</v>
      </c>
      <c r="B56">
        <v>61625918</v>
      </c>
      <c r="C56">
        <v>61625916</v>
      </c>
      <c r="D56">
        <v>56217452</v>
      </c>
      <c r="E56">
        <v>108</v>
      </c>
      <c r="F56">
        <v>1</v>
      </c>
      <c r="G56">
        <v>1</v>
      </c>
      <c r="H56">
        <v>1</v>
      </c>
      <c r="I56" t="s">
        <v>312</v>
      </c>
      <c r="J56" t="s">
        <v>3</v>
      </c>
      <c r="K56" t="s">
        <v>313</v>
      </c>
      <c r="L56">
        <v>1369</v>
      </c>
      <c r="N56">
        <v>1013</v>
      </c>
      <c r="O56" t="s">
        <v>311</v>
      </c>
      <c r="P56" t="s">
        <v>311</v>
      </c>
      <c r="Q56">
        <v>1</v>
      </c>
      <c r="X56">
        <v>3.6</v>
      </c>
      <c r="Y56">
        <v>0</v>
      </c>
      <c r="Z56">
        <v>0</v>
      </c>
      <c r="AA56">
        <v>0</v>
      </c>
      <c r="AB56">
        <v>571.70000000000005</v>
      </c>
      <c r="AC56">
        <v>0</v>
      </c>
      <c r="AD56">
        <v>1</v>
      </c>
      <c r="AE56">
        <v>1</v>
      </c>
      <c r="AF56" t="s">
        <v>3</v>
      </c>
      <c r="AG56">
        <v>3.6</v>
      </c>
      <c r="AH56">
        <v>2</v>
      </c>
      <c r="AI56">
        <v>61625917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ROW(Source!A148)</f>
        <v>148</v>
      </c>
      <c r="B57">
        <v>61625922</v>
      </c>
      <c r="C57">
        <v>61625919</v>
      </c>
      <c r="D57">
        <v>56217415</v>
      </c>
      <c r="E57">
        <v>108</v>
      </c>
      <c r="F57">
        <v>1</v>
      </c>
      <c r="G57">
        <v>1</v>
      </c>
      <c r="H57">
        <v>1</v>
      </c>
      <c r="I57" t="s">
        <v>314</v>
      </c>
      <c r="J57" t="s">
        <v>3</v>
      </c>
      <c r="K57" t="s">
        <v>315</v>
      </c>
      <c r="L57">
        <v>1369</v>
      </c>
      <c r="N57">
        <v>1013</v>
      </c>
      <c r="O57" t="s">
        <v>311</v>
      </c>
      <c r="P57" t="s">
        <v>311</v>
      </c>
      <c r="Q57">
        <v>1</v>
      </c>
      <c r="X57">
        <v>1.94</v>
      </c>
      <c r="Y57">
        <v>0</v>
      </c>
      <c r="Z57">
        <v>0</v>
      </c>
      <c r="AA57">
        <v>0</v>
      </c>
      <c r="AB57">
        <v>435.27</v>
      </c>
      <c r="AC57">
        <v>0</v>
      </c>
      <c r="AD57">
        <v>1</v>
      </c>
      <c r="AE57">
        <v>1</v>
      </c>
      <c r="AF57" t="s">
        <v>3</v>
      </c>
      <c r="AG57">
        <v>1.94</v>
      </c>
      <c r="AH57">
        <v>2</v>
      </c>
      <c r="AI57">
        <v>61625920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ROW(Source!A148)</f>
        <v>148</v>
      </c>
      <c r="B58">
        <v>61625923</v>
      </c>
      <c r="C58">
        <v>61625919</v>
      </c>
      <c r="D58">
        <v>56217452</v>
      </c>
      <c r="E58">
        <v>108</v>
      </c>
      <c r="F58">
        <v>1</v>
      </c>
      <c r="G58">
        <v>1</v>
      </c>
      <c r="H58">
        <v>1</v>
      </c>
      <c r="I58" t="s">
        <v>312</v>
      </c>
      <c r="J58" t="s">
        <v>3</v>
      </c>
      <c r="K58" t="s">
        <v>313</v>
      </c>
      <c r="L58">
        <v>1369</v>
      </c>
      <c r="N58">
        <v>1013</v>
      </c>
      <c r="O58" t="s">
        <v>311</v>
      </c>
      <c r="P58" t="s">
        <v>311</v>
      </c>
      <c r="Q58">
        <v>1</v>
      </c>
      <c r="X58">
        <v>2.92</v>
      </c>
      <c r="Y58">
        <v>0</v>
      </c>
      <c r="Z58">
        <v>0</v>
      </c>
      <c r="AA58">
        <v>0</v>
      </c>
      <c r="AB58">
        <v>571.70000000000005</v>
      </c>
      <c r="AC58">
        <v>0</v>
      </c>
      <c r="AD58">
        <v>1</v>
      </c>
      <c r="AE58">
        <v>1</v>
      </c>
      <c r="AF58" t="s">
        <v>3</v>
      </c>
      <c r="AG58">
        <v>2.92</v>
      </c>
      <c r="AH58">
        <v>2</v>
      </c>
      <c r="AI58">
        <v>61625921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ROW(Source!A149)</f>
        <v>149</v>
      </c>
      <c r="B59">
        <v>61625927</v>
      </c>
      <c r="C59">
        <v>61625924</v>
      </c>
      <c r="D59">
        <v>56217421</v>
      </c>
      <c r="E59">
        <v>108</v>
      </c>
      <c r="F59">
        <v>1</v>
      </c>
      <c r="G59">
        <v>1</v>
      </c>
      <c r="H59">
        <v>1</v>
      </c>
      <c r="I59" t="s">
        <v>309</v>
      </c>
      <c r="J59" t="s">
        <v>3</v>
      </c>
      <c r="K59" t="s">
        <v>310</v>
      </c>
      <c r="L59">
        <v>1369</v>
      </c>
      <c r="N59">
        <v>1013</v>
      </c>
      <c r="O59" t="s">
        <v>311</v>
      </c>
      <c r="P59" t="s">
        <v>311</v>
      </c>
      <c r="Q59">
        <v>1</v>
      </c>
      <c r="X59">
        <v>0.16</v>
      </c>
      <c r="Y59">
        <v>0</v>
      </c>
      <c r="Z59">
        <v>0</v>
      </c>
      <c r="AA59">
        <v>0</v>
      </c>
      <c r="AB59">
        <v>584.69000000000005</v>
      </c>
      <c r="AC59">
        <v>0</v>
      </c>
      <c r="AD59">
        <v>1</v>
      </c>
      <c r="AE59">
        <v>1</v>
      </c>
      <c r="AF59" t="s">
        <v>3</v>
      </c>
      <c r="AG59">
        <v>0.16</v>
      </c>
      <c r="AH59">
        <v>2</v>
      </c>
      <c r="AI59">
        <v>61625925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ROW(Source!A149)</f>
        <v>149</v>
      </c>
      <c r="B60">
        <v>61625928</v>
      </c>
      <c r="C60">
        <v>61625924</v>
      </c>
      <c r="D60">
        <v>56217452</v>
      </c>
      <c r="E60">
        <v>108</v>
      </c>
      <c r="F60">
        <v>1</v>
      </c>
      <c r="G60">
        <v>1</v>
      </c>
      <c r="H60">
        <v>1</v>
      </c>
      <c r="I60" t="s">
        <v>312</v>
      </c>
      <c r="J60" t="s">
        <v>3</v>
      </c>
      <c r="K60" t="s">
        <v>313</v>
      </c>
      <c r="L60">
        <v>1369</v>
      </c>
      <c r="N60">
        <v>1013</v>
      </c>
      <c r="O60" t="s">
        <v>311</v>
      </c>
      <c r="P60" t="s">
        <v>311</v>
      </c>
      <c r="Q60">
        <v>1</v>
      </c>
      <c r="X60">
        <v>0.16</v>
      </c>
      <c r="Y60">
        <v>0</v>
      </c>
      <c r="Z60">
        <v>0</v>
      </c>
      <c r="AA60">
        <v>0</v>
      </c>
      <c r="AB60">
        <v>571.70000000000005</v>
      </c>
      <c r="AC60">
        <v>0</v>
      </c>
      <c r="AD60">
        <v>1</v>
      </c>
      <c r="AE60">
        <v>1</v>
      </c>
      <c r="AF60" t="s">
        <v>3</v>
      </c>
      <c r="AG60">
        <v>0.16</v>
      </c>
      <c r="AH60">
        <v>2</v>
      </c>
      <c r="AI60">
        <v>61625926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ROW(Source!A150)</f>
        <v>150</v>
      </c>
      <c r="B61">
        <v>61625932</v>
      </c>
      <c r="C61">
        <v>61625929</v>
      </c>
      <c r="D61">
        <v>56217421</v>
      </c>
      <c r="E61">
        <v>108</v>
      </c>
      <c r="F61">
        <v>1</v>
      </c>
      <c r="G61">
        <v>1</v>
      </c>
      <c r="H61">
        <v>1</v>
      </c>
      <c r="I61" t="s">
        <v>309</v>
      </c>
      <c r="J61" t="s">
        <v>3</v>
      </c>
      <c r="K61" t="s">
        <v>310</v>
      </c>
      <c r="L61">
        <v>1369</v>
      </c>
      <c r="N61">
        <v>1013</v>
      </c>
      <c r="O61" t="s">
        <v>311</v>
      </c>
      <c r="P61" t="s">
        <v>311</v>
      </c>
      <c r="Q61">
        <v>1</v>
      </c>
      <c r="X61">
        <v>0.5</v>
      </c>
      <c r="Y61">
        <v>0</v>
      </c>
      <c r="Z61">
        <v>0</v>
      </c>
      <c r="AA61">
        <v>0</v>
      </c>
      <c r="AB61">
        <v>584.69000000000005</v>
      </c>
      <c r="AC61">
        <v>0</v>
      </c>
      <c r="AD61">
        <v>1</v>
      </c>
      <c r="AE61">
        <v>1</v>
      </c>
      <c r="AF61" t="s">
        <v>3</v>
      </c>
      <c r="AG61">
        <v>0.5</v>
      </c>
      <c r="AH61">
        <v>2</v>
      </c>
      <c r="AI61">
        <v>61625930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ROW(Source!A150)</f>
        <v>150</v>
      </c>
      <c r="B62">
        <v>61625933</v>
      </c>
      <c r="C62">
        <v>61625929</v>
      </c>
      <c r="D62">
        <v>56217452</v>
      </c>
      <c r="E62">
        <v>108</v>
      </c>
      <c r="F62">
        <v>1</v>
      </c>
      <c r="G62">
        <v>1</v>
      </c>
      <c r="H62">
        <v>1</v>
      </c>
      <c r="I62" t="s">
        <v>312</v>
      </c>
      <c r="J62" t="s">
        <v>3</v>
      </c>
      <c r="K62" t="s">
        <v>313</v>
      </c>
      <c r="L62">
        <v>1369</v>
      </c>
      <c r="N62">
        <v>1013</v>
      </c>
      <c r="O62" t="s">
        <v>311</v>
      </c>
      <c r="P62" t="s">
        <v>311</v>
      </c>
      <c r="Q62">
        <v>1</v>
      </c>
      <c r="X62">
        <v>0.5</v>
      </c>
      <c r="Y62">
        <v>0</v>
      </c>
      <c r="Z62">
        <v>0</v>
      </c>
      <c r="AA62">
        <v>0</v>
      </c>
      <c r="AB62">
        <v>571.70000000000005</v>
      </c>
      <c r="AC62">
        <v>0</v>
      </c>
      <c r="AD62">
        <v>1</v>
      </c>
      <c r="AE62">
        <v>1</v>
      </c>
      <c r="AF62" t="s">
        <v>3</v>
      </c>
      <c r="AG62">
        <v>0.5</v>
      </c>
      <c r="AH62">
        <v>2</v>
      </c>
      <c r="AI62">
        <v>61625931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ROW(Source!A151)</f>
        <v>151</v>
      </c>
      <c r="B63">
        <v>61625937</v>
      </c>
      <c r="C63">
        <v>61625934</v>
      </c>
      <c r="D63">
        <v>56217421</v>
      </c>
      <c r="E63">
        <v>108</v>
      </c>
      <c r="F63">
        <v>1</v>
      </c>
      <c r="G63">
        <v>1</v>
      </c>
      <c r="H63">
        <v>1</v>
      </c>
      <c r="I63" t="s">
        <v>309</v>
      </c>
      <c r="J63" t="s">
        <v>3</v>
      </c>
      <c r="K63" t="s">
        <v>310</v>
      </c>
      <c r="L63">
        <v>1369</v>
      </c>
      <c r="N63">
        <v>1013</v>
      </c>
      <c r="O63" t="s">
        <v>311</v>
      </c>
      <c r="P63" t="s">
        <v>311</v>
      </c>
      <c r="Q63">
        <v>1</v>
      </c>
      <c r="X63">
        <v>0.81</v>
      </c>
      <c r="Y63">
        <v>0</v>
      </c>
      <c r="Z63">
        <v>0</v>
      </c>
      <c r="AA63">
        <v>0</v>
      </c>
      <c r="AB63">
        <v>584.69000000000005</v>
      </c>
      <c r="AC63">
        <v>0</v>
      </c>
      <c r="AD63">
        <v>1</v>
      </c>
      <c r="AE63">
        <v>1</v>
      </c>
      <c r="AF63" t="s">
        <v>3</v>
      </c>
      <c r="AG63">
        <v>0.81</v>
      </c>
      <c r="AH63">
        <v>2</v>
      </c>
      <c r="AI63">
        <v>61625935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ROW(Source!A151)</f>
        <v>151</v>
      </c>
      <c r="B64">
        <v>61625938</v>
      </c>
      <c r="C64">
        <v>61625934</v>
      </c>
      <c r="D64">
        <v>56217452</v>
      </c>
      <c r="E64">
        <v>108</v>
      </c>
      <c r="F64">
        <v>1</v>
      </c>
      <c r="G64">
        <v>1</v>
      </c>
      <c r="H64">
        <v>1</v>
      </c>
      <c r="I64" t="s">
        <v>312</v>
      </c>
      <c r="J64" t="s">
        <v>3</v>
      </c>
      <c r="K64" t="s">
        <v>313</v>
      </c>
      <c r="L64">
        <v>1369</v>
      </c>
      <c r="N64">
        <v>1013</v>
      </c>
      <c r="O64" t="s">
        <v>311</v>
      </c>
      <c r="P64" t="s">
        <v>311</v>
      </c>
      <c r="Q64">
        <v>1</v>
      </c>
      <c r="X64">
        <v>0.81</v>
      </c>
      <c r="Y64">
        <v>0</v>
      </c>
      <c r="Z64">
        <v>0</v>
      </c>
      <c r="AA64">
        <v>0</v>
      </c>
      <c r="AB64">
        <v>571.70000000000005</v>
      </c>
      <c r="AC64">
        <v>0</v>
      </c>
      <c r="AD64">
        <v>1</v>
      </c>
      <c r="AE64">
        <v>1</v>
      </c>
      <c r="AF64" t="s">
        <v>3</v>
      </c>
      <c r="AG64">
        <v>0.81</v>
      </c>
      <c r="AH64">
        <v>2</v>
      </c>
      <c r="AI64">
        <v>61625936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ROW(Source!A152)</f>
        <v>152</v>
      </c>
      <c r="B65">
        <v>61625942</v>
      </c>
      <c r="C65">
        <v>61625939</v>
      </c>
      <c r="D65">
        <v>56217421</v>
      </c>
      <c r="E65">
        <v>108</v>
      </c>
      <c r="F65">
        <v>1</v>
      </c>
      <c r="G65">
        <v>1</v>
      </c>
      <c r="H65">
        <v>1</v>
      </c>
      <c r="I65" t="s">
        <v>309</v>
      </c>
      <c r="J65" t="s">
        <v>3</v>
      </c>
      <c r="K65" t="s">
        <v>310</v>
      </c>
      <c r="L65">
        <v>1369</v>
      </c>
      <c r="N65">
        <v>1013</v>
      </c>
      <c r="O65" t="s">
        <v>311</v>
      </c>
      <c r="P65" t="s">
        <v>311</v>
      </c>
      <c r="Q65">
        <v>1</v>
      </c>
      <c r="X65">
        <v>6.48</v>
      </c>
      <c r="Y65">
        <v>0</v>
      </c>
      <c r="Z65">
        <v>0</v>
      </c>
      <c r="AA65">
        <v>0</v>
      </c>
      <c r="AB65">
        <v>584.69000000000005</v>
      </c>
      <c r="AC65">
        <v>0</v>
      </c>
      <c r="AD65">
        <v>1</v>
      </c>
      <c r="AE65">
        <v>1</v>
      </c>
      <c r="AF65" t="s">
        <v>3</v>
      </c>
      <c r="AG65">
        <v>6.48</v>
      </c>
      <c r="AH65">
        <v>2</v>
      </c>
      <c r="AI65">
        <v>61625940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ROW(Source!A152)</f>
        <v>152</v>
      </c>
      <c r="B66">
        <v>61625943</v>
      </c>
      <c r="C66">
        <v>61625939</v>
      </c>
      <c r="D66">
        <v>56217452</v>
      </c>
      <c r="E66">
        <v>108</v>
      </c>
      <c r="F66">
        <v>1</v>
      </c>
      <c r="G66">
        <v>1</v>
      </c>
      <c r="H66">
        <v>1</v>
      </c>
      <c r="I66" t="s">
        <v>312</v>
      </c>
      <c r="J66" t="s">
        <v>3</v>
      </c>
      <c r="K66" t="s">
        <v>313</v>
      </c>
      <c r="L66">
        <v>1369</v>
      </c>
      <c r="N66">
        <v>1013</v>
      </c>
      <c r="O66" t="s">
        <v>311</v>
      </c>
      <c r="P66" t="s">
        <v>311</v>
      </c>
      <c r="Q66">
        <v>1</v>
      </c>
      <c r="X66">
        <v>6.48</v>
      </c>
      <c r="Y66">
        <v>0</v>
      </c>
      <c r="Z66">
        <v>0</v>
      </c>
      <c r="AA66">
        <v>0</v>
      </c>
      <c r="AB66">
        <v>571.70000000000005</v>
      </c>
      <c r="AC66">
        <v>0</v>
      </c>
      <c r="AD66">
        <v>1</v>
      </c>
      <c r="AE66">
        <v>1</v>
      </c>
      <c r="AF66" t="s">
        <v>3</v>
      </c>
      <c r="AG66">
        <v>6.48</v>
      </c>
      <c r="AH66">
        <v>2</v>
      </c>
      <c r="AI66">
        <v>61625941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ROW(Source!A153)</f>
        <v>153</v>
      </c>
      <c r="B67">
        <v>61625947</v>
      </c>
      <c r="C67">
        <v>61625944</v>
      </c>
      <c r="D67">
        <v>56217421</v>
      </c>
      <c r="E67">
        <v>108</v>
      </c>
      <c r="F67">
        <v>1</v>
      </c>
      <c r="G67">
        <v>1</v>
      </c>
      <c r="H67">
        <v>1</v>
      </c>
      <c r="I67" t="s">
        <v>309</v>
      </c>
      <c r="J67" t="s">
        <v>3</v>
      </c>
      <c r="K67" t="s">
        <v>310</v>
      </c>
      <c r="L67">
        <v>1369</v>
      </c>
      <c r="N67">
        <v>1013</v>
      </c>
      <c r="O67" t="s">
        <v>311</v>
      </c>
      <c r="P67" t="s">
        <v>311</v>
      </c>
      <c r="Q67">
        <v>1</v>
      </c>
      <c r="X67">
        <v>1.62</v>
      </c>
      <c r="Y67">
        <v>0</v>
      </c>
      <c r="Z67">
        <v>0</v>
      </c>
      <c r="AA67">
        <v>0</v>
      </c>
      <c r="AB67">
        <v>584.69000000000005</v>
      </c>
      <c r="AC67">
        <v>0</v>
      </c>
      <c r="AD67">
        <v>1</v>
      </c>
      <c r="AE67">
        <v>1</v>
      </c>
      <c r="AF67" t="s">
        <v>3</v>
      </c>
      <c r="AG67">
        <v>1.62</v>
      </c>
      <c r="AH67">
        <v>2</v>
      </c>
      <c r="AI67">
        <v>61625945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ROW(Source!A153)</f>
        <v>153</v>
      </c>
      <c r="B68">
        <v>61625948</v>
      </c>
      <c r="C68">
        <v>61625944</v>
      </c>
      <c r="D68">
        <v>56217452</v>
      </c>
      <c r="E68">
        <v>108</v>
      </c>
      <c r="F68">
        <v>1</v>
      </c>
      <c r="G68">
        <v>1</v>
      </c>
      <c r="H68">
        <v>1</v>
      </c>
      <c r="I68" t="s">
        <v>312</v>
      </c>
      <c r="J68" t="s">
        <v>3</v>
      </c>
      <c r="K68" t="s">
        <v>313</v>
      </c>
      <c r="L68">
        <v>1369</v>
      </c>
      <c r="N68">
        <v>1013</v>
      </c>
      <c r="O68" t="s">
        <v>311</v>
      </c>
      <c r="P68" t="s">
        <v>311</v>
      </c>
      <c r="Q68">
        <v>1</v>
      </c>
      <c r="X68">
        <v>1.62</v>
      </c>
      <c r="Y68">
        <v>0</v>
      </c>
      <c r="Z68">
        <v>0</v>
      </c>
      <c r="AA68">
        <v>0</v>
      </c>
      <c r="AB68">
        <v>571.70000000000005</v>
      </c>
      <c r="AC68">
        <v>0</v>
      </c>
      <c r="AD68">
        <v>1</v>
      </c>
      <c r="AE68">
        <v>1</v>
      </c>
      <c r="AF68" t="s">
        <v>3</v>
      </c>
      <c r="AG68">
        <v>1.62</v>
      </c>
      <c r="AH68">
        <v>2</v>
      </c>
      <c r="AI68">
        <v>61625946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513E5-0A7A-422E-92F2-30D1C6B8E874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ФСНБ 421+557прРИМ</vt:lpstr>
      <vt:lpstr>Source</vt:lpstr>
      <vt:lpstr>SourceObSm</vt:lpstr>
      <vt:lpstr>SmtRes</vt:lpstr>
      <vt:lpstr>EtalonRes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2024-08-19T12:09:57Z</dcterms:created>
  <dcterms:modified xsi:type="dcterms:W3CDTF">2024-08-20T08:43:44Z</dcterms:modified>
</cp:coreProperties>
</file>